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JSV05\share\data\上尾伊奈\専門部\1.賃金労働対策部\26年度\標準労務費\"/>
    </mc:Choice>
  </mc:AlternateContent>
  <xr:revisionPtr revIDLastSave="0" documentId="13_ncr:1_{421238A4-C2B8-4EEA-95E0-26E205366932}" xr6:coauthVersionLast="47" xr6:coauthVersionMax="47" xr10:uidLastSave="{00000000-0000-0000-0000-000000000000}"/>
  <bookViews>
    <workbookView xWindow="-120" yWindow="-120" windowWidth="21840" windowHeight="13020" firstSheet="0" activeTab="1" xr2:uid="{00000000-000D-0000-FFFF-FFFF00000000}"/>
  </bookViews>
  <sheets>
    <sheet name="はじめにお読みください" sheetId="1" r:id="rId1"/>
    <sheet name="かんたん入力" sheetId="2" r:id="rId2"/>
    <sheet name="見積書（印刷用）" sheetId="3" r:id="rId3"/>
    <sheet name="事務所用①くわしい設定" sheetId="4" r:id="rId4"/>
    <sheet name="事務所用②料率と日当" sheetId="5" r:id="rId5"/>
    <sheet name="事務所用③安全衛生 確認表" sheetId="6" r:id="rId6"/>
    <sheet name="用語の言い換え一覧" sheetId="7" r:id="rId7"/>
    <sheet name="変更点一覧" sheetId="8" r:id="rId8"/>
  </sheets>
  <definedNames>
    <definedName name="_xlnm.Print_Area" localSheetId="1">かんたん入力!$A$1:$F$145</definedName>
    <definedName name="_xlnm.Print_Area" localSheetId="0">はじめにお読みください!$A$1:$C$13</definedName>
    <definedName name="_xlnm.Print_Area" localSheetId="2">'見積書（印刷用）'!$A$1:$H$51</definedName>
    <definedName name="_xlnm.Print_Area" localSheetId="3">事務所用①くわしい設定!$A$1:$J$75</definedName>
    <definedName name="_xlnm.Print_Area" localSheetId="4">事務所用②料率と日当!$A$1:$H$76</definedName>
    <definedName name="_xlnm.Print_Area" localSheetId="5">'事務所用③安全衛生 確認表'!$A$1:$F$65</definedName>
    <definedName name="_xlnm.Print_Area" localSheetId="7">変更点一覧!$A$1:$D$37</definedName>
    <definedName name="_xlnm.Print_Area" localSheetId="6">用語の言い換え一覧!$A$1:$C$28</definedName>
    <definedName name="かんたん職種">事務所用②料率と日当!$H$19:$H$39</definedName>
    <definedName name="正式職種">事務所用②料率と日当!$B$19:$B$73</definedName>
    <definedName name="日当表C">事務所用②料率と日当!$C$19:$C$73</definedName>
    <definedName name="日当表F">事務所用②料率と日当!$F$19:$F$73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6" l="1"/>
  <c r="F73" i="5"/>
  <c r="F72" i="5"/>
  <c r="F71" i="5"/>
  <c r="F70" i="5"/>
  <c r="F69" i="5"/>
  <c r="B74" i="4"/>
  <c r="B75" i="4" s="1"/>
  <c r="B69" i="4"/>
  <c r="B68" i="4"/>
  <c r="B67" i="4"/>
  <c r="B65" i="4"/>
  <c r="B64" i="4"/>
  <c r="B63" i="4"/>
  <c r="B60" i="4"/>
  <c r="B58" i="4"/>
  <c r="H51" i="4"/>
  <c r="I51" i="4" s="1"/>
  <c r="G51" i="4"/>
  <c r="H50" i="4"/>
  <c r="I50" i="4" s="1"/>
  <c r="G50" i="4"/>
  <c r="I49" i="4"/>
  <c r="H49" i="4"/>
  <c r="G49" i="4"/>
  <c r="H48" i="4"/>
  <c r="I48" i="4" s="1"/>
  <c r="G48" i="4"/>
  <c r="H47" i="4"/>
  <c r="I47" i="4" s="1"/>
  <c r="G47" i="4"/>
  <c r="H46" i="4"/>
  <c r="I46" i="4" s="1"/>
  <c r="G46" i="4"/>
  <c r="I45" i="4"/>
  <c r="H45" i="4"/>
  <c r="G45" i="4"/>
  <c r="H44" i="4"/>
  <c r="I44" i="4" s="1"/>
  <c r="G44" i="4"/>
  <c r="H43" i="4"/>
  <c r="I43" i="4" s="1"/>
  <c r="G43" i="4"/>
  <c r="H42" i="4"/>
  <c r="I42" i="4" s="1"/>
  <c r="G42" i="4"/>
  <c r="I41" i="4"/>
  <c r="H41" i="4"/>
  <c r="G41" i="4"/>
  <c r="H40" i="4"/>
  <c r="I40" i="4" s="1"/>
  <c r="G40" i="4"/>
  <c r="H39" i="4"/>
  <c r="I39" i="4" s="1"/>
  <c r="G39" i="4"/>
  <c r="H38" i="4"/>
  <c r="I38" i="4" s="1"/>
  <c r="G38" i="4"/>
  <c r="I37" i="4"/>
  <c r="H37" i="4"/>
  <c r="G37" i="4"/>
  <c r="H36" i="4"/>
  <c r="I36" i="4" s="1"/>
  <c r="G36" i="4"/>
  <c r="H35" i="4"/>
  <c r="I35" i="4" s="1"/>
  <c r="G35" i="4"/>
  <c r="H34" i="4"/>
  <c r="I34" i="4" s="1"/>
  <c r="G34" i="4"/>
  <c r="I33" i="4"/>
  <c r="H33" i="4"/>
  <c r="G33" i="4"/>
  <c r="H32" i="4"/>
  <c r="I32" i="4" s="1"/>
  <c r="G32" i="4"/>
  <c r="B18" i="4"/>
  <c r="F14" i="4"/>
  <c r="E14" i="4"/>
  <c r="C14" i="4"/>
  <c r="C13" i="4"/>
  <c r="E13" i="4" s="1"/>
  <c r="E12" i="4"/>
  <c r="C12" i="4"/>
  <c r="C11" i="4"/>
  <c r="E11" i="4" s="1"/>
  <c r="E10" i="4"/>
  <c r="C10" i="4"/>
  <c r="C9" i="4"/>
  <c r="E9" i="4" s="1"/>
  <c r="D6" i="4"/>
  <c r="A45" i="3"/>
  <c r="A30" i="3"/>
  <c r="G14" i="3"/>
  <c r="B11" i="3"/>
  <c r="F10" i="3"/>
  <c r="B10" i="3"/>
  <c r="G9" i="3"/>
  <c r="F9" i="3"/>
  <c r="B9" i="3"/>
  <c r="F8" i="3"/>
  <c r="B8" i="3"/>
  <c r="F7" i="3"/>
  <c r="D7" i="3"/>
  <c r="B7" i="3"/>
  <c r="F6" i="3"/>
  <c r="B6" i="3"/>
  <c r="F5" i="3"/>
  <c r="B5" i="3"/>
  <c r="A4" i="3"/>
  <c r="J3" i="3"/>
  <c r="G3" i="3"/>
  <c r="A3" i="3"/>
  <c r="G2" i="3"/>
  <c r="A113" i="2"/>
  <c r="F109" i="2"/>
  <c r="A98" i="2" s="1"/>
  <c r="F108" i="2"/>
  <c r="F106" i="2"/>
  <c r="F105" i="2"/>
  <c r="F95" i="2"/>
  <c r="F94" i="2"/>
  <c r="F93" i="2"/>
  <c r="F92" i="2"/>
  <c r="F91" i="2"/>
  <c r="F90" i="2"/>
  <c r="F89" i="2"/>
  <c r="F88" i="2"/>
  <c r="F87" i="2"/>
  <c r="F86" i="2"/>
  <c r="B25" i="4" s="1"/>
  <c r="A84" i="2"/>
  <c r="A78" i="2"/>
  <c r="A68" i="2"/>
  <c r="I60" i="2"/>
  <c r="G60" i="2"/>
  <c r="F60" i="2"/>
  <c r="J60" i="2" s="1"/>
  <c r="J59" i="2"/>
  <c r="I59" i="2"/>
  <c r="G59" i="2"/>
  <c r="F59" i="2"/>
  <c r="I58" i="2"/>
  <c r="G58" i="2"/>
  <c r="F58" i="2"/>
  <c r="J58" i="2" s="1"/>
  <c r="I57" i="2"/>
  <c r="G57" i="2"/>
  <c r="F57" i="2"/>
  <c r="J57" i="2" s="1"/>
  <c r="J56" i="2"/>
  <c r="I56" i="2"/>
  <c r="G56" i="2"/>
  <c r="F56" i="2"/>
  <c r="F53" i="2"/>
  <c r="E53" i="2"/>
  <c r="F52" i="2"/>
  <c r="E52" i="2"/>
  <c r="F51" i="2"/>
  <c r="E51" i="2"/>
  <c r="F50" i="2"/>
  <c r="E50" i="2"/>
  <c r="F49" i="2"/>
  <c r="E49" i="2"/>
  <c r="F48" i="2"/>
  <c r="E48" i="2"/>
  <c r="F47" i="2"/>
  <c r="E47" i="2"/>
  <c r="F46" i="2"/>
  <c r="E46" i="2"/>
  <c r="F41" i="2"/>
  <c r="F40" i="2"/>
  <c r="F39" i="2"/>
  <c r="F38" i="2"/>
  <c r="F37" i="2"/>
  <c r="F42" i="2" s="1"/>
  <c r="F36" i="2"/>
  <c r="F35" i="2"/>
  <c r="F34" i="2"/>
  <c r="F33" i="2"/>
  <c r="F32" i="2"/>
  <c r="A25" i="2"/>
  <c r="A22" i="2"/>
  <c r="A19" i="2"/>
  <c r="A9" i="2"/>
  <c r="H5" i="2"/>
  <c r="G27" i="3" l="1"/>
  <c r="A30" i="2"/>
  <c r="I52" i="4"/>
  <c r="F62" i="2" s="1"/>
  <c r="B19" i="4" s="1"/>
  <c r="G35" i="3"/>
  <c r="H52" i="4"/>
  <c r="F63" i="2" s="1"/>
  <c r="B66" i="4" l="1"/>
  <c r="B21" i="4"/>
  <c r="E137" i="2"/>
  <c r="G21" i="3"/>
  <c r="G28" i="3"/>
  <c r="B6" i="4"/>
  <c r="A44" i="2"/>
  <c r="E132" i="2"/>
  <c r="G18" i="3"/>
  <c r="G5" i="2"/>
  <c r="E133" i="2" l="1"/>
  <c r="G19" i="3"/>
  <c r="A5" i="2"/>
  <c r="J2" i="3" s="1"/>
  <c r="A2" i="3"/>
  <c r="F11" i="4"/>
  <c r="F10" i="4"/>
  <c r="F13" i="4"/>
  <c r="F9" i="4"/>
  <c r="C26" i="4"/>
  <c r="B28" i="4" s="1"/>
  <c r="F12" i="4"/>
  <c r="F80" i="2"/>
  <c r="G31" i="3"/>
  <c r="E135" i="2" s="1"/>
  <c r="F96" i="2" l="1"/>
  <c r="G33" i="3"/>
  <c r="E136" i="2" s="1"/>
  <c r="F15" i="4"/>
  <c r="B70" i="4" s="1"/>
  <c r="G30" i="3" l="1"/>
  <c r="F76" i="2"/>
  <c r="E134" i="2" l="1"/>
  <c r="G20" i="3"/>
  <c r="C13" i="3"/>
  <c r="G13" i="3" l="1"/>
  <c r="D130" i="2" s="1"/>
  <c r="C14" i="3"/>
  <c r="D128" i="2" s="1"/>
  <c r="D129" i="2"/>
</calcChain>
</file>

<file path=xl/sharedStrings.xml><?xml version="1.0" encoding="utf-8"?>
<sst xmlns="http://schemas.openxmlformats.org/spreadsheetml/2006/main" count="775" uniqueCount="621">
  <si>
    <t>見積書の作り方</t>
  </si>
  <si>
    <t>むずかしい操作はいりません。5つの手順だけです。</t>
  </si>
  <si>
    <t>1</t>
  </si>
  <si>
    <t>画面のいちばん下の「かんたん入力」をクリックします。</t>
  </si>
  <si>
    <t>2</t>
  </si>
  <si>
    <t>上から順番に、黄色いところに答えを入れます。
（▼が出る所は、クリックしてえらびます）</t>
  </si>
  <si>
    <t>3</t>
  </si>
  <si>
    <t>いちばん上の「あと〇問です」が「全部入りました」になったら完成です。</t>
  </si>
  <si>
    <t>4</t>
  </si>
  <si>
    <t>いちばん下の「見積金額」を確かめます。</t>
  </si>
  <si>
    <t>5</t>
  </si>
  <si>
    <t>画面の下の「見積書（印刷用）」をクリックして、
キーボードの「Ctrl」を押したまま「P」を押し、「印刷」を押します。</t>
  </si>
  <si>
    <t>◎ まちがえても大丈夫。数字を消して入れ直せば直ります。
◎ オレンジ色の所は「まだ入っていない・直してほしい」という合図です。
◎ 灰色の所は自動で計算されるので、入れなくてOKです。
◎ 工事ごとに「名前を付けて保存」し、印刷したらPDFも保存しておきましょう（日当の表を更新すると金額が変わるため）。</t>
  </si>
  <si>
    <t>見積書に書いた労務費を一方的に減らされた、書面で契約してくれない…
そんな時は、ひとりで悩まず組合に相談を！
困ったときは　埼玉土建 上尾伊奈支部　電話 048-773-9863</t>
  </si>
  <si>
    <t>見積書　かんたん入力</t>
  </si>
  <si>
    <t>上から順番に、黄色いところに答えを入れてください。</t>
  </si>
  <si>
    <t>まちがえても大丈夫です。数字を消して入れ直せば直ります。</t>
  </si>
  <si>
    <t>オレンジ色の所は「ここがまだです」の合図です。入れると消えます。</t>
  </si>
  <si>
    <t>■ あなたの会社のこと（最初の1回だけ）</t>
  </si>
  <si>
    <t>あなたの会社名（屋号）は？</t>
  </si>
  <si>
    <t>会社名</t>
  </si>
  <si>
    <t>例：〇〇工務店</t>
  </si>
  <si>
    <t>住所</t>
  </si>
  <si>
    <t>例：上尾市〇〇1-2-3</t>
  </si>
  <si>
    <t>電話番号</t>
  </si>
  <si>
    <t>例：048-000-0000</t>
  </si>
  <si>
    <t>FAX番号</t>
  </si>
  <si>
    <t>なければ空欄でOK</t>
  </si>
  <si>
    <t>建設業の許可番号</t>
  </si>
  <si>
    <t>許可をもらった日</t>
  </si>
  <si>
    <t>インボイス登録番号</t>
  </si>
  <si>
    <t>例：T1234567890123（なければ空欄）</t>
  </si>
  <si>
    <t>■ 今回の工事のこと</t>
  </si>
  <si>
    <t>見積書を出す相手（元請さん）の名前は？</t>
  </si>
  <si>
    <t>相手の名前</t>
  </si>
  <si>
    <t>例：株式会社〇〇建設　※「御中」は自動でつきます</t>
  </si>
  <si>
    <t>相手の担当者</t>
  </si>
  <si>
    <t>例：山田（「様」は自動でつきます）</t>
  </si>
  <si>
    <t>何の工事ですか？</t>
  </si>
  <si>
    <t>工事の名前</t>
  </si>
  <si>
    <t>例：〇〇様邸 新築工事のうち型枠工事</t>
  </si>
  <si>
    <t>工事の場所</t>
  </si>
  <si>
    <t>わかれば。例：上尾市〇〇町</t>
  </si>
  <si>
    <t>工事はいつからいつまでですか？</t>
  </si>
  <si>
    <t>始まる日</t>
  </si>
  <si>
    <t>例：2026/11/1 と入れる</t>
  </si>
  <si>
    <t>終わる日</t>
  </si>
  <si>
    <t>例：2027/1/31</t>
  </si>
  <si>
    <t>■ 工事のお金</t>
  </si>
  <si>
    <t>材料はいくらかかりますか？</t>
  </si>
  <si>
    <t>材料の名前と大きさ（規格）・数・1つの値段を分けて入れてください。金額は自動で計算します。
合計しかわからない時は、名前に「材料一式」、数に「1」、値段に合計金額を入れてください。</t>
  </si>
  <si>
    <t>材料の名前・大きさ</t>
  </si>
  <si>
    <t>数</t>
  </si>
  <si>
    <t>1つの値段（円）</t>
  </si>
  <si>
    <t>金額（自動）</t>
  </si>
  <si>
    <t>材料費の合計</t>
  </si>
  <si>
    <t>職人さんの手間賃はいくらですか？</t>
  </si>
  <si>
    <t>① 職人さんの種類のマスをクリック → 右に出る ▼ を押してえらぶ（文字で打ち込んでもOK）
② 人数と日数を入れる
③ 日当は国の目安（埼玉県）で計算します。実際の日当が違う時だけ、右の「日当を変える時」に金額を入れてください（青色になります）。</t>
  </si>
  <si>
    <t>職人さんの種類
（▼でえらぶ）</t>
  </si>
  <si>
    <t>人数</t>
  </si>
  <si>
    <t>日数</t>
  </si>
  <si>
    <t>日当
国の目安</t>
  </si>
  <si>
    <t>手間賃
（自動）</t>
  </si>
  <si>
    <t>日当を
変える時</t>
  </si>
  <si>
    <t>◆ 面積や数で計算する時（例：1日に50㎡できる）は、こちらに入れてください。</t>
  </si>
  <si>
    <t>全体の量</t>
  </si>
  <si>
    <t>単位
（▼）</t>
  </si>
  <si>
    <t>1日に1人で
できる量</t>
  </si>
  <si>
    <t>人工
（自動）</t>
  </si>
  <si>
    <t>1あたりの
単価（自動）</t>
  </si>
  <si>
    <t>例：型枠1,200㎡を1日11㎡ずつ → 人工は約109人工。「1あたりの単価」は見積書の㎡単価の目安になります。</t>
  </si>
  <si>
    <t>職人さんが働く日数の合計（人数×日数＋人工）</t>
  </si>
  <si>
    <t>手間賃の合計</t>
  </si>
  <si>
    <t>※「日当を変える時」の数字を消すと、国の目安で計算します。同じ作業を上と下の表に二重に入れないでください。
※国の「労務費の基準値」が出ている職種（型枠・鉄筋・左官など）は、その値も参考にしてください。</t>
  </si>
  <si>
    <t>■ 職人さんの保険・積み立て</t>
  </si>
  <si>
    <t>職人さんを雇っていますか？（1人で仕事をしている一人親方なら「いいえ」）</t>
  </si>
  <si>
    <t>答え（▼でえらぶ）</t>
  </si>
  <si>
    <t>はい</t>
  </si>
  <si>
    <t>◆ 7-A　「はい」（雇っている）の人だけ</t>
  </si>
  <si>
    <t>社会保険（雇用保険・健康保険・厚生年金など）に入れていますか？</t>
  </si>
  <si>
    <t>わからなければ組合の事務所に聞いてください</t>
  </si>
  <si>
    <t>◆ 7-B　「いいえ」（一人親方）の人だけ　※自分の保険料の分も、見積書で請求できます</t>
  </si>
  <si>
    <t>建設国保の保険料（1か月分・円）</t>
  </si>
  <si>
    <t>例：36400</t>
  </si>
  <si>
    <t>国民年金の保険料（1か月分・円）</t>
  </si>
  <si>
    <t>空欄なら17,920円（令和8年度）で計算</t>
  </si>
  <si>
    <t>1か月に働く日数</t>
  </si>
  <si>
    <t>例：21</t>
  </si>
  <si>
    <t>一人親方労災の保険料（1年分・円）</t>
  </si>
  <si>
    <t>わからなければ組合に聞いてください</t>
  </si>
  <si>
    <t>社会保険料（会社負担分／一人親方は相当額）（自動）</t>
  </si>
  <si>
    <t>建退共（けんたいきょう：職人さんの退職金の積み立て）のこと</t>
  </si>
  <si>
    <t>建退共に入っていますか？</t>
  </si>
  <si>
    <t>証紙（掛金のシール）は元請さんが用意してくれますか？</t>
  </si>
  <si>
    <t>いいえ</t>
  </si>
  <si>
    <t>建退共の掛金（自動）</t>
  </si>
  <si>
    <t>■ そのほかの費用</t>
  </si>
  <si>
    <t>ケガや事故を防ぐための費用（ヘルメット・安全帯など）</t>
  </si>
  <si>
    <t>使うものの「○をつける」欄で ○ をえらび、数と1つの値段を入れてください。使わないものは空欄のままでOK。</t>
  </si>
  <si>
    <t>品物</t>
  </si>
  <si>
    <t>○を
つける</t>
  </si>
  <si>
    <t>1つの値段
（円）</t>
  </si>
  <si>
    <t>ヘルメット（保護帽）</t>
  </si>
  <si>
    <t>安全帯（墜落制止用器具）</t>
  </si>
  <si>
    <t>安全靴</t>
  </si>
  <si>
    <t>作業着</t>
  </si>
  <si>
    <t>空調服</t>
  </si>
  <si>
    <t>防塵（ぼうじん）マスク</t>
  </si>
  <si>
    <t>熱中症対策（飲み物・塩あめ等）</t>
  </si>
  <si>
    <t>健康診断</t>
  </si>
  <si>
    <t>自由</t>
  </si>
  <si>
    <t>ケガや事故を防ぐ費用の合計</t>
  </si>
  <si>
    <t>交通費・道具代・会社の経費など、ほかにかかる費用はありますか？</t>
  </si>
  <si>
    <t>あてはまる所だけ金額を入れてください。なければ空欄のままでOKです。</t>
  </si>
  <si>
    <t>費用の名前</t>
  </si>
  <si>
    <t>メモ（計算の根拠など）</t>
  </si>
  <si>
    <t>金額（円）</t>
  </si>
  <si>
    <t>現場への交通費・駐車場代・燃料代</t>
  </si>
  <si>
    <t>例：往復26km×3日</t>
  </si>
  <si>
    <t>道具・機械の使用料（損料）</t>
  </si>
  <si>
    <t>例：インパクトレンチ等</t>
  </si>
  <si>
    <t>仮設トイレ・足場・養生など</t>
  </si>
  <si>
    <t>会社の経費（1日あたり）</t>
  </si>
  <si>
    <t>円 × 働く日数</t>
  </si>
  <si>
    <t>または（材料費＋手間賃）の</t>
  </si>
  <si>
    <t>％（例：10%）</t>
  </si>
  <si>
    <t>会社の経費（事務所代・電話代・事務の人の給料など）は、どちらか一方だけ入れてください。1日あたりの金額は事務所用①で計算できます。</t>
  </si>
  <si>
    <t>一人親方労災の保険料（自動）</t>
  </si>
  <si>
    <t>※7-Bで入れた人だけ（1年分÷365日×働く日数）</t>
  </si>
  <si>
    <t>ほかの費用の合計</t>
  </si>
  <si>
    <t>■ 最後に、見積書の日付など</t>
  </si>
  <si>
    <t>見積書を出す日と、条件を入れてください。</t>
  </si>
  <si>
    <t>見積書を出す日</t>
  </si>
  <si>
    <t>例：2026/10/14</t>
  </si>
  <si>
    <t>この見積もりの金額が有効な期限</t>
  </si>
  <si>
    <t>例：2026/11/30（なければ空欄）</t>
  </si>
  <si>
    <t>お金の払い方</t>
  </si>
  <si>
    <t>例：月末締め翌月末払い</t>
  </si>
  <si>
    <t>引き渡す場所</t>
  </si>
  <si>
    <t>例：現場渡し</t>
  </si>
  <si>
    <t>そのほか</t>
  </si>
  <si>
    <t>伝えたいことがあれば</t>
  </si>
  <si>
    <t>見積番号</t>
  </si>
  <si>
    <t>見積書に書いておくと安心な一言（入れたいものに ○）</t>
  </si>
  <si>
    <t>後でもめないための一言です。○をつけると見積書の「特記事項」に印刷されます。</t>
  </si>
  <si>
    <t>○</t>
  </si>
  <si>
    <t>材料の値段は見積日時点のものです。値上がりした場合は、金額の見直しについてご相談させてください。</t>
  </si>
  <si>
    <t>悪天候・現場の都合による工期の延長や、時間外・休日の作業は、別途ご精算をお願いいたします。</t>
  </si>
  <si>
    <t>追加・変更の工事が出た場合は、あらためてお見積りし、書面で契約させてください。</t>
  </si>
  <si>
    <t>本見積書は、第三次担い手3法（2025年12月施行）および国土交通省「労務費に関する基準」をふまえて作成しています。</t>
  </si>
  <si>
    <t>■ 見積もりの金額（自動で計算されます）</t>
  </si>
  <si>
    <t>見積金額（税込）</t>
  </si>
  <si>
    <t>税抜の金額</t>
  </si>
  <si>
    <t>消費税</t>
  </si>
  <si>
    <t>うちわけ</t>
  </si>
  <si>
    <t>材料費</t>
  </si>
  <si>
    <t>職人さんの手間賃</t>
  </si>
  <si>
    <t>社会保険料（会社負担分／一人親方は相当額）</t>
  </si>
  <si>
    <t>建退共の掛金</t>
  </si>
  <si>
    <t>ケガや事故を防ぐ費用</t>
  </si>
  <si>
    <t>ほかの費用</t>
  </si>
  <si>
    <t>■ 印刷のしかた</t>
  </si>
  <si>
    <t>① 画面のいちばん下にある「見積書（印刷用）」という名前をクリックします。</t>
  </si>
  <si>
    <t>② キーボードの「Ctrl（コントロール）」を押したまま「P」を押します。（Macは「⌘」＋「P」）</t>
  </si>
  <si>
    <t>③ 出てきた画面の「印刷」ボタンを押します。A4の紙1枚に印刷されます。</t>
  </si>
  <si>
    <t>④ 終わったら、画面の下の「かんたん入力」をクリックして戻ります。</t>
  </si>
  <si>
    <t>見積書の労務費を一方的に減らされた、書面で契約してもらえない…そんな時も、まず組合に相談を！</t>
  </si>
  <si>
    <t>困ったときは：埼玉土建 上尾伊奈支部（電話 048-773-9863）</t>
  </si>
  <si>
    <t>御　見　積　書</t>
  </si>
  <si>
    <t>▼印刷前チェック（この列は印刷されません）</t>
  </si>
  <si>
    <t>見積日</t>
  </si>
  <si>
    <t>工 事 名</t>
  </si>
  <si>
    <t>工 事 場 所</t>
  </si>
  <si>
    <t>工　　　期</t>
  </si>
  <si>
    <t>～</t>
  </si>
  <si>
    <t>見積有効期限</t>
  </si>
  <si>
    <t>支 払 条 件</t>
  </si>
  <si>
    <t>受 渡 場 所</t>
  </si>
  <si>
    <t>そ の 他</t>
  </si>
  <si>
    <t>見積金額合計（税抜）（A）</t>
  </si>
  <si>
    <t>消費税額</t>
  </si>
  <si>
    <t>見積金額合計（税込）</t>
  </si>
  <si>
    <t>税率</t>
  </si>
  <si>
    <t>見積書合計金額（税抜）（A）の内訳</t>
  </si>
  <si>
    <t>内　訳</t>
  </si>
  <si>
    <t>金　額（税　抜）</t>
  </si>
  <si>
    <t>労務費（職人さんの手間賃）</t>
  </si>
  <si>
    <t>法定福利費・建退共掛金・安全衛生経費</t>
  </si>
  <si>
    <t>諸経費（参考）</t>
  </si>
  <si>
    <t>見積書合計金額（税抜）（A）のうち、建設業法第20条第１項等により、見積書において特に内訳明示することとされている経費</t>
  </si>
  <si>
    <t>労務費</t>
  </si>
  <si>
    <t>※現場の技能労働者の賃金の原資に相当する部分を指し、法定福利費（事業主負担分）等は含まれない</t>
  </si>
  <si>
    <t>建退共掛金</t>
  </si>
  <si>
    <t>※受注者や再下請事業者が加入事業者であり、元請等が証紙等交付事務を受託していない場合のみ計上する</t>
  </si>
  <si>
    <t>安全衛生経費</t>
  </si>
  <si>
    <t>※労働安全衛生法等に基づく労働災害防止対策に必要な経費を計上する　※労務費等と一部重複することがある</t>
  </si>
  <si>
    <t>（参考）建設労働者の雇用に伴う必要経費等（労務費等を除く）の合計</t>
  </si>
  <si>
    <t>上記５つの経費の額について、受注者が通常必要と認められる額を著しく下回るように見積もること及び注文者が通常必要と認められる額を著しく下回ることとなるように変更依頼することは、建設業法第20条第２項、第６項において禁止されています。また、注文者には、建設業法第20条第４項により、本見積書の内容を考慮する努力義務が課されています。</t>
  </si>
  <si>
    <t>また、上記の「労務費」は、現場の技能労働者の賃金の原資に相当する部分を指し、「建設労働者の雇用に伴う必要経費」を含まないものです。上記の「建設労働者の雇用に伴う必要経費」について、必要額を計上しない、又は請負代金からこれを値引くことは建設業法上不当行為となり得ることに留意する必要があります。</t>
  </si>
  <si>
    <t>特記事項</t>
  </si>
  <si>
    <t>以上のとおり、お見積り申し上げます。</t>
  </si>
  <si>
    <t>事務所用① くわしい設定（組合員さんは触らなくて大丈夫です）</t>
  </si>
  <si>
    <t>社会保険の種類ごとの設定・建退共の日数・安全衛生経費の率・「1㎡あたり（歩掛）」での入力ができます。</t>
  </si>
  <si>
    <t>■黄色＝入力するところ　■灰色＝自動計算（触らなくてOK）　■赤色＝入力が足りないところ</t>
  </si>
  <si>
    <t>【A】社会保険（法定福利費・事業主負担分）の種類ごとの設定</t>
  </si>
  <si>
    <t>労務費の合計（自動）</t>
  </si>
  <si>
    <t>かんたん入力の答え</t>
  </si>
  <si>
    <t>←「はい」以外なら下の金額は0円（一人親方は【F】で計算）</t>
  </si>
  <si>
    <t>保険の種類</t>
  </si>
  <si>
    <t>対象
○/×</t>
  </si>
  <si>
    <t>標準の率
（事務所用②）</t>
  </si>
  <si>
    <t>自社の率
※違う時だけ</t>
  </si>
  <si>
    <t>使う率</t>
  </si>
  <si>
    <t>説明</t>
  </si>
  <si>
    <t>雇用保険料</t>
  </si>
  <si>
    <t>建設の事業の会社負担分（書き方ガイドP.19）</t>
  </si>
  <si>
    <t>健康保険料</t>
  </si>
  <si>
    <t>協会けんぽ以外（健保組合・国保組合など）は加入先の会社負担率を「自社の率」に。会社負担がなければ×（P.20）</t>
  </si>
  <si>
    <t>介護保険料</t>
  </si>
  <si>
    <t>40～64歳の作業員がいない工事は×（P.20）</t>
  </si>
  <si>
    <t>厚生年金保険料</t>
  </si>
  <si>
    <t>P.21</t>
  </si>
  <si>
    <t>子ども・子育て拠出金</t>
  </si>
  <si>
    <t>全額会社負担（P.21）</t>
  </si>
  <si>
    <t>子ども・子育て支援金（令和8年4月～）</t>
  </si>
  <si>
    <t>×</t>
  </si>
  <si>
    <t>全建総連様式に未掲載の新項目。計上するかは県本部に要確認</t>
  </si>
  <si>
    <t>合計</t>
  </si>
  <si>
    <t>←合計で1円未満切り捨て</t>
  </si>
  <si>
    <t>【B】建退共掛金（書き方ガイドP.28～P.29）</t>
  </si>
  <si>
    <t>1日分の掛金（事務所用②）</t>
  </si>
  <si>
    <t>働く日数の合計（自動）</t>
  </si>
  <si>
    <t>日数を変える場合（空欄なら上の日数）</t>
  </si>
  <si>
    <t>建退共掛金（円）</t>
  </si>
  <si>
    <t>＝1日分×日数（100円未満四捨五入）。建退共に入っていない／元請が証紙を用意する場合は0円</t>
  </si>
  <si>
    <t>【C】安全衛生経費の計上方法（書き方ガイドP.24～P.27）</t>
  </si>
  <si>
    <t>計上方法</t>
  </si>
  <si>
    <t>①＋②</t>
  </si>
  <si>
    <t>①積み上げ（かんたん入力の品物）</t>
  </si>
  <si>
    <t>②経費率（労務費×率）</t>
  </si>
  <si>
    <t>率の根拠（例：過去3年の実績）</t>
  </si>
  <si>
    <t>安全衛生経費 合計</t>
  </si>
  <si>
    <t>【D】くわしい入力：1㎡あたり（歩掛）で計算する／日当を変える（かんたん入力の手間賃に足されます）</t>
  </si>
  <si>
    <t>名称・工種</t>
  </si>
  <si>
    <t>職種（▼）</t>
  </si>
  <si>
    <t>数量</t>
  </si>
  <si>
    <t>単位</t>
  </si>
  <si>
    <t>歩掛
（人日/単位）</t>
  </si>
  <si>
    <t>日当を変える時
（円）</t>
  </si>
  <si>
    <t>使う日当</t>
  </si>
  <si>
    <t>延べ人日</t>
  </si>
  <si>
    <t>備考（根拠）</t>
  </si>
  <si>
    <t>※「1日に10㎡できる」なら歩掛は 1÷10＝0.1。職種を空欄にして「日当を変える時」だけ入れると、その日当で計算します。</t>
  </si>
  <si>
    <t>【E】1日あたりの経費 計算ツール（書き方ガイドP.30）</t>
  </si>
  <si>
    <t>年間の経費（確定申告書等）</t>
  </si>
  <si>
    <t>年間の稼働日数</t>
  </si>
  <si>
    <t>→ 1日あたり</t>
  </si>
  <si>
    <t>今回の現場の日数</t>
  </si>
  <si>
    <t>→ この現場の金額（かんたん入力の質問10へ）</t>
  </si>
  <si>
    <t>【F】一人親方の法定福利費相当額・労災保険料（かんたん入力7-Bから自動）</t>
  </si>
  <si>
    <t>対象</t>
  </si>
  <si>
    <t>① 建設国保 1日あたり（月額÷月の稼働日数）</t>
  </si>
  <si>
    <t>※一人親方の社会保険料は本人負担のため法定福利費の内訳明示の対象外ですが、相当額を請求・確保する考え方です。</t>
  </si>
  <si>
    <t>② 国民年金 1日あたり（月額÷月の稼働日数）</t>
  </si>
  <si>
    <t>働く日数（建退共と同じ日数）</t>
  </si>
  <si>
    <t>法定福利費相当額（①＋②）×日数</t>
  </si>
  <si>
    <t>③ 一人親方労災 1日あたり（年額÷365日）</t>
  </si>
  <si>
    <t>一人親方労災保険料 ③×日数（→ほかの費用へ）</t>
  </si>
  <si>
    <t>見積書の「法定福利費」欄に載る金額</t>
  </si>
  <si>
    <t>【G】CCUSレベル別年収から日額・月額を出す</t>
  </si>
  <si>
    <t>レベル別年収（円）</t>
  </si>
  <si>
    <t>CCUS未判定の目安：レベル1＝5年未満、2＝5～10年、3＝10年以上又は一級技能士、4＝登録基幹技能者</t>
  </si>
  <si>
    <t>→ 日額（÷標準年間労働日数234日）</t>
  </si>
  <si>
    <t>→ 月額（日額×月平均19.5日）</t>
  </si>
  <si>
    <t>事務所用② 料率と日当（年に1回、事務所で更新）</t>
  </si>
  <si>
    <t>このシートの黄色の数字を最新の値に直すと、全部の計算に自動で反映されます。組合員さんは触らなくて大丈夫です。</t>
  </si>
  <si>
    <t>【1】社会保険料の率（会社負担分）</t>
  </si>
  <si>
    <t>No</t>
  </si>
  <si>
    <t>項目</t>
  </si>
  <si>
    <t>会社負担の率</t>
  </si>
  <si>
    <t>（参考）全体の率</t>
  </si>
  <si>
    <t>いつから</t>
  </si>
  <si>
    <t>出典・確認先</t>
  </si>
  <si>
    <t>雇用保険（建設の事業）</t>
  </si>
  <si>
    <t>令和8年4月1日～</t>
  </si>
  <si>
    <t>厚生労働省「令和8(2026)年度 雇用保険料率のご案内」 https://jsite.mhlw.go.jp/yamanashi-roudoukyoku/koyouhoken_R8.html</t>
  </si>
  <si>
    <t>健康保険（協会けんぽ 埼玉支部）</t>
  </si>
  <si>
    <t>令和8年3月分～</t>
  </si>
  <si>
    <t>協会けんぽ「令和8年度 都道府県単位保険料率」 https://www.kyoukaikenpo.or.jp/about/business/insurance_rate/rate_prefectures/r08</t>
  </si>
  <si>
    <t>介護保険（40～64歳の人のみ）</t>
  </si>
  <si>
    <t>同上（全国一律）</t>
  </si>
  <si>
    <t>厚生年金</t>
  </si>
  <si>
    <t>平成29年9月分～</t>
  </si>
  <si>
    <t>日本年金機構 保険料額表（厚生年金基金に入っている場合は基金に確認）</t>
  </si>
  <si>
    <t>子ども・子育て拠出金（全額会社負担）</t>
  </si>
  <si>
    <t>令和2年4月分～</t>
  </si>
  <si>
    <t>日本年金機構 保険料額表</t>
  </si>
  <si>
    <t>子ども・子育て支援金</t>
  </si>
  <si>
    <t>令和8年4月分～</t>
  </si>
  <si>
    <t>協会けんぽ（全国一律0.23%を労使折半）※全建総連の様式にない新しい項目。計上するかは県本部に要確認</t>
  </si>
  <si>
    <t>【2】建退共・消費税</t>
  </si>
  <si>
    <t>建退共 1日分の掛金（円）</t>
  </si>
  <si>
    <t>令和3年10月～</t>
  </si>
  <si>
    <t>勤労者退職金共済機構 建退共事業本部（最新額は要確認）</t>
  </si>
  <si>
    <t>消費税率</t>
  </si>
  <si>
    <t>消費税法第29条（標準税率10%）</t>
  </si>
  <si>
    <t>国民年金保険料（月額・一人親方用）</t>
  </si>
  <si>
    <t>令和8年度</t>
  </si>
  <si>
    <t>日本年金機構「国民年金保険料」 https://www.nenkin.go.jp/service/kokunen/hokenryo/hokenryo.html</t>
  </si>
  <si>
    <t>【3】国が決めた職人さんの日当の目安（公共工事設計労務単価・埼玉県・令和8年3月から）単位：円/日（8時間）</t>
  </si>
  <si>
    <t>職種（正式名称）</t>
  </si>
  <si>
    <t>日当（円）</t>
  </si>
  <si>
    <t>確認状況</t>
  </si>
  <si>
    <t>かんたん入力での表示名</t>
  </si>
  <si>
    <t>かんたん入力の▼リスト</t>
  </si>
  <si>
    <t>大工</t>
  </si>
  <si>
    <t>要確認（原本と照合）</t>
  </si>
  <si>
    <t>型わく工</t>
  </si>
  <si>
    <t>型枠大工</t>
  </si>
  <si>
    <t>内装工</t>
  </si>
  <si>
    <t>内装</t>
  </si>
  <si>
    <t>左官</t>
  </si>
  <si>
    <t>塗装工</t>
  </si>
  <si>
    <t>塗装</t>
  </si>
  <si>
    <t>屋根ふき工</t>
  </si>
  <si>
    <t>屋根</t>
  </si>
  <si>
    <t>板金工</t>
  </si>
  <si>
    <t>板金</t>
  </si>
  <si>
    <t>防水工</t>
  </si>
  <si>
    <t>防水</t>
  </si>
  <si>
    <t>タイル工</t>
  </si>
  <si>
    <t>タイル</t>
  </si>
  <si>
    <t>建具工</t>
  </si>
  <si>
    <t>建具</t>
  </si>
  <si>
    <t>サッシ工</t>
  </si>
  <si>
    <t>サッシ</t>
  </si>
  <si>
    <t>ガラス工</t>
  </si>
  <si>
    <t>ガラス</t>
  </si>
  <si>
    <t>配管工</t>
  </si>
  <si>
    <t>配管</t>
  </si>
  <si>
    <t>電工</t>
  </si>
  <si>
    <t>電気工事</t>
  </si>
  <si>
    <t>とび工</t>
  </si>
  <si>
    <t>とび</t>
  </si>
  <si>
    <t>鉄筋工</t>
  </si>
  <si>
    <t>鉄筋</t>
  </si>
  <si>
    <t>ブロック工</t>
  </si>
  <si>
    <t>ブロック</t>
  </si>
  <si>
    <t>はつり工</t>
  </si>
  <si>
    <t>はつり</t>
  </si>
  <si>
    <t>普通作業員</t>
  </si>
  <si>
    <t>手元・普通作業員</t>
  </si>
  <si>
    <t>軽作業員</t>
  </si>
  <si>
    <t>ダクト工</t>
  </si>
  <si>
    <t>ダクト</t>
  </si>
  <si>
    <t>その他（日当を入力）</t>
  </si>
  <si>
    <t>保温工</t>
  </si>
  <si>
    <t>要確認（未取得）</t>
  </si>
  <si>
    <t>保温</t>
  </si>
  <si>
    <t>↑順番・中身は変更できます</t>
  </si>
  <si>
    <t>設備機械工</t>
  </si>
  <si>
    <t>設備機械</t>
  </si>
  <si>
    <t>特殊作業員</t>
  </si>
  <si>
    <t>溶接工</t>
  </si>
  <si>
    <t>溶接</t>
  </si>
  <si>
    <t>鉄骨工</t>
  </si>
  <si>
    <t>鉄骨</t>
  </si>
  <si>
    <t>石工</t>
  </si>
  <si>
    <t>造園工</t>
  </si>
  <si>
    <t>造園</t>
  </si>
  <si>
    <t>交通誘導警備員Ａ</t>
  </si>
  <si>
    <t>交通誘導警備員Ｂ</t>
  </si>
  <si>
    <t>法面工</t>
  </si>
  <si>
    <t>運転手（特殊）</t>
  </si>
  <si>
    <t>運転手（一般）</t>
  </si>
  <si>
    <t>潜かん工</t>
  </si>
  <si>
    <t>潜かん世話役</t>
  </si>
  <si>
    <t>さく岩工</t>
  </si>
  <si>
    <t>トンネル特殊工</t>
  </si>
  <si>
    <t>トンネル作業員</t>
  </si>
  <si>
    <t>トンネル世話役</t>
  </si>
  <si>
    <t>橋りょう特殊工</t>
  </si>
  <si>
    <t>橋りょう塗装工</t>
  </si>
  <si>
    <t>橋りょう世話役</t>
  </si>
  <si>
    <t>土木一般世話役</t>
  </si>
  <si>
    <t>高級船員</t>
  </si>
  <si>
    <t>普通船員</t>
  </si>
  <si>
    <t>潜水士</t>
  </si>
  <si>
    <t>潜水連絡員</t>
  </si>
  <si>
    <t>潜水送気員</t>
  </si>
  <si>
    <t>山林砂防工</t>
  </si>
  <si>
    <t>軌道工</t>
  </si>
  <si>
    <t>自由に追加できます</t>
  </si>
  <si>
    <t>出典：国土交通省「令和8年3月から適用する公共工事設計労務単価について」（令和8年2月17日公表） https://www.mlit.go.jp/report/press/tochi_fudousan_kensetsugyo14_hh_000001_00337.html</t>
  </si>
  <si>
    <t>※日当は公表PDFから読み取った値です。使う前に原本の埼玉県欄と照合してください。保温工・設備機械工は空欄です（原本で確認して入力）。</t>
  </si>
  <si>
    <t>事務所用③ 安全衛生対策項目の確認表（参考ひな型・任意）</t>
  </si>
  <si>
    <t>元請さんとの打合せで、誰がやるか・誰が費用を持つかに「○」をつけます。</t>
  </si>
  <si>
    <t>工事名</t>
  </si>
  <si>
    <t>整理区分</t>
  </si>
  <si>
    <t>対策項目</t>
  </si>
  <si>
    <t>対策の実施分担</t>
  </si>
  <si>
    <t>費用負担（見積計上）</t>
  </si>
  <si>
    <t>注文者</t>
  </si>
  <si>
    <t>下請</t>
  </si>
  <si>
    <t>安全衛生管理体制</t>
  </si>
  <si>
    <t>工事現場管理</t>
  </si>
  <si>
    <t>リスクアセスメントの実施及びその結果に基づくリスク低減措置の実施</t>
  </si>
  <si>
    <t>労働者の危険又は健康障害を防止するための措置</t>
  </si>
  <si>
    <t>固定式足場の組立と解体</t>
  </si>
  <si>
    <t>固定式足場以外の作業床の組立と解体</t>
  </si>
  <si>
    <t>作業構台・吊り構台の組立と解体</t>
  </si>
  <si>
    <t>昇降設備の設置と撤去</t>
  </si>
  <si>
    <t>土留め支保工の組立と解体</t>
  </si>
  <si>
    <t>保護具の着用</t>
  </si>
  <si>
    <t>墜落等による危険の防止</t>
  </si>
  <si>
    <t>　└ 手摺、幅木等</t>
  </si>
  <si>
    <t>　└ 開口部養生</t>
  </si>
  <si>
    <t>　└ 落下防止ネット・小幅ネット</t>
  </si>
  <si>
    <t>ロープ高所作業における危険の防止</t>
  </si>
  <si>
    <t>飛来崩壊災害による危険の防止</t>
  </si>
  <si>
    <t>揚重用吊具</t>
  </si>
  <si>
    <t>警報設備</t>
  </si>
  <si>
    <t>避難用設備</t>
  </si>
  <si>
    <t>火災防止</t>
  </si>
  <si>
    <t>危険物の対処（立入禁止措置）</t>
  </si>
  <si>
    <t>機械並びに危険物及び有害物に関する規制</t>
  </si>
  <si>
    <t>調査の実施（埋設物調査・試掘等）</t>
  </si>
  <si>
    <t>安全点検の実施</t>
  </si>
  <si>
    <t>機械等の危険防止</t>
  </si>
  <si>
    <t>監視連絡等に要する対策</t>
  </si>
  <si>
    <t>倉庫、材料保管等</t>
  </si>
  <si>
    <t>粉じん障害防止</t>
  </si>
  <si>
    <t>石綿障害予防</t>
  </si>
  <si>
    <t>電離放射線障害防止</t>
  </si>
  <si>
    <t>特定化学物質障害予防</t>
  </si>
  <si>
    <t>鉛中毒予防</t>
  </si>
  <si>
    <t>有機溶剤中毒予防</t>
  </si>
  <si>
    <t>酸素欠乏症等防止</t>
  </si>
  <si>
    <t>労働者の就業に当たっての措置</t>
  </si>
  <si>
    <t>安全衛生教育</t>
  </si>
  <si>
    <t>　└ 作業内容変更時の教育</t>
  </si>
  <si>
    <t>　└ 新規入場者教育</t>
  </si>
  <si>
    <t>　└ 送り出し教育</t>
  </si>
  <si>
    <t>健康の保持増進のための措置・快適な職場環境の形成のための措置</t>
  </si>
  <si>
    <t>作業環境の測定</t>
  </si>
  <si>
    <t>　└ 測定機器の用意</t>
  </si>
  <si>
    <t>　└ 測定環境の設定</t>
  </si>
  <si>
    <t>作業環境の構築</t>
  </si>
  <si>
    <t>　└ 換気設備</t>
  </si>
  <si>
    <t>　└ 空調設備、空気清浄設備</t>
  </si>
  <si>
    <t>　└ 照明器具</t>
  </si>
  <si>
    <t>　└ 電気設備</t>
  </si>
  <si>
    <t>　└ 給排水設備</t>
  </si>
  <si>
    <t>　└ 休憩室、仮眠設備</t>
  </si>
  <si>
    <t>職場生活支援施設（トイレ、洗面所等）</t>
  </si>
  <si>
    <t>熱中症対策</t>
  </si>
  <si>
    <t>応急処置・緊急時対応</t>
  </si>
  <si>
    <t>その他の疾病・衛生対策</t>
  </si>
  <si>
    <t>その他</t>
  </si>
  <si>
    <t>安全意識、注意喚起</t>
  </si>
  <si>
    <t>交通規制に要する対策</t>
  </si>
  <si>
    <t>公衆災害に要する対策（仮囲い等）</t>
  </si>
  <si>
    <t>追加項目（当該工事で確認が必要な項目）</t>
  </si>
  <si>
    <t>用語の言い換え一覧（画面での表示 ⇔ 見積書の正式名称）</t>
  </si>
  <si>
    <t>入力画面はやさしい言葉、印刷する見積書は正式名称になっています。元請さんとの話では右の正式名称が使われます。</t>
  </si>
  <si>
    <t>見積書の正式名称</t>
  </si>
  <si>
    <t>かんたん入力での表示</t>
  </si>
  <si>
    <t>やさしい説明</t>
  </si>
  <si>
    <t>現場で働く職人さんの日当の合計。会社が払う社会保険料などは含まない。</t>
  </si>
  <si>
    <t>公共工事設計労務単価</t>
  </si>
  <si>
    <t>国が決めた日当の目安</t>
  </si>
  <si>
    <t>国が毎年決める、職種ごとの1日（8時間）あたりの日当の目安。埼玉県の値を使っています。</t>
  </si>
  <si>
    <t>歩掛（ぶがかり）</t>
  </si>
  <si>
    <t>1㎡あたり何人日かかるか</t>
  </si>
  <si>
    <t>1㎡などの作業に、職人1人で何日かかるか。例：1日に10㎡できるなら0.1。かんたん入力では「人数×日数」で入れます。</t>
  </si>
  <si>
    <t>延べ人日・充当日数</t>
  </si>
  <si>
    <t>職人さんが働く日数の合計（人数×日数）</t>
  </si>
  <si>
    <t>2人で5日なら10。建退共の掛金の計算に使います。</t>
  </si>
  <si>
    <t>法定福利費（事業主負担分）</t>
  </si>
  <si>
    <t>社会保険料の会社負担分</t>
  </si>
  <si>
    <t>雇用保険・健康保険・介護保険・厚生年金などで、法律で会社が払うことになっている分。</t>
  </si>
  <si>
    <t>雇用保険・健康保険・厚生年金 等</t>
  </si>
  <si>
    <t>社会保険（1問にまとめています）</t>
  </si>
  <si>
    <t>種類ごとの細かい設定は事務所用①シートでできます。</t>
  </si>
  <si>
    <t>建退共の掛金（職人さんの退職金の積み立て）</t>
  </si>
  <si>
    <t>建設業退職金共済。働いた日数分の証紙（シール）を手帳に貼って積み立てる退職金の制度。</t>
  </si>
  <si>
    <t>元請等が証紙等を購入</t>
  </si>
  <si>
    <t>証紙は元請さんが用意してくれますか？</t>
  </si>
  <si>
    <t>元請さんが証紙を用意してくれる場合は、見積書に掛金を入れません。</t>
  </si>
  <si>
    <t>ケガや事故を防ぐための費用</t>
  </si>
  <si>
    <t>ヘルメット・安全帯・熱中症対策など、労働災害を防ぐためにかかるお金。</t>
  </si>
  <si>
    <t>諸経費（現場管理費・一般管理費）</t>
  </si>
  <si>
    <t>現場への交通費や事務所の経費など</t>
  </si>
  <si>
    <t>工事にかかる、材料・手間賃以外の費用。</t>
  </si>
  <si>
    <t>（参考）建設労働者の雇用に伴う必要経費等</t>
  </si>
  <si>
    <t>上の諸経費のこと。見積書では（参考）として載ります。</t>
  </si>
  <si>
    <t>この日を過ぎたら、金額を見直すことがあるという意味。</t>
  </si>
  <si>
    <t>支払条件</t>
  </si>
  <si>
    <t>例：月末締め翌月末払い。</t>
  </si>
  <si>
    <t>受渡場所</t>
  </si>
  <si>
    <t>例：現場渡し。</t>
  </si>
  <si>
    <t>元請さん</t>
  </si>
  <si>
    <t>工事を頼んできた相手。</t>
  </si>
  <si>
    <t>御中</t>
  </si>
  <si>
    <t>（自動でつきます）</t>
  </si>
  <si>
    <t>会社あての手紙で名前のあとにつける言葉。</t>
  </si>
  <si>
    <t>人工（にんく）</t>
  </si>
  <si>
    <t>人工（自動）</t>
  </si>
  <si>
    <t>職人1人が1日働く量のこと。2人で5日なら10人工。</t>
  </si>
  <si>
    <t>歩掛りによる単価（㎡単価など）</t>
  </si>
  <si>
    <t>1あたりの単価（自動）</t>
  </si>
  <si>
    <t>日当÷1日にできる量。例：日当33,000円で1日50㎡なら660円/㎡。</t>
  </si>
  <si>
    <t>法定福利費相当額（一人親方）</t>
  </si>
  <si>
    <t>社会保険料（一人親方は相当額）</t>
  </si>
  <si>
    <t>一人親方の建設国保・国民年金は本人負担だが、その分を見積書で請求・確保する考え方。</t>
  </si>
  <si>
    <t>一般管理費</t>
  </si>
  <si>
    <t>会社の経費</t>
  </si>
  <si>
    <t>事務所の家賃・電話代・事務の人の給料など、会社を続けるための経費。</t>
  </si>
  <si>
    <t>機工具損料</t>
  </si>
  <si>
    <t>道具や機械がすり減る分の費用。</t>
  </si>
  <si>
    <t>見積書に書いておくと安心な一言</t>
  </si>
  <si>
    <t>値上がり・工期延長・追加工事などの約束ごと。</t>
  </si>
  <si>
    <t>労務費の基準（値）</t>
  </si>
  <si>
    <t>（事務所用で参照）</t>
  </si>
  <si>
    <t>国が示した適正な労務費の考え方。型枠・鉄筋・左官など13職種で具体的な基準値が公表（2025年12月現在）。</t>
  </si>
  <si>
    <t>変更点一覧（前回の改修版 → 70代向け 質問形式版 → 改良版）</t>
  </si>
  <si>
    <t>前回の改修版</t>
  </si>
  <si>
    <t>今回</t>
  </si>
  <si>
    <t>入力の場所</t>
  </si>
  <si>
    <t>①～⑥の6シートに分かれていた</t>
  </si>
  <si>
    <t>「かんたん入力」1シートに、質問1～11を縦に並べた（横スクロールなし）</t>
  </si>
  <si>
    <t>文字の大きさ</t>
  </si>
  <si>
    <t>10.5ポイント</t>
  </si>
  <si>
    <t>入力画面は14～24ポイント、表示倍率120%</t>
  </si>
  <si>
    <t>言葉</t>
  </si>
  <si>
    <t>労務費・歩掛・法定福利費・建退共などの専門用語</t>
  </si>
  <si>
    <t>やさしい言葉に言い換え（「用語の言い換え一覧」参照）。印刷する見積書は正式名称のまま</t>
  </si>
  <si>
    <t>手間賃の入力</t>
  </si>
  <si>
    <t>数量×歩掛×単価</t>
  </si>
  <si>
    <t>職種をえらんで「人数×日数」。歩掛での入力は事務所用①に残した</t>
  </si>
  <si>
    <t>職種の選択</t>
  </si>
  <si>
    <t>正式名称の一覧</t>
  </si>
  <si>
    <t>読み仮名つき・建築系を先頭に並べた一覧</t>
  </si>
  <si>
    <t>社会保険</t>
  </si>
  <si>
    <t>保険の種類ごとに○×</t>
  </si>
  <si>
    <t>「社会保険に入れていますか？」の1問。種類ごとの設定は事務所用①</t>
  </si>
  <si>
    <t>建退共</t>
  </si>
  <si>
    <t>証紙の質問のみ</t>
  </si>
  <si>
    <t>「入っていますか？」「証紙は元請さんが用意しますか？」の2問</t>
  </si>
  <si>
    <t>計上方法の選択と品目入力</t>
  </si>
  <si>
    <t>よくある品物に○をつけて数と値段を入れるだけ。率での計上は事務所用①</t>
  </si>
  <si>
    <t>進み具合</t>
  </si>
  <si>
    <t>なし</t>
  </si>
  <si>
    <t>いちばん上に「あと〇問です」を表示、終わった質問に「✓済」</t>
  </si>
  <si>
    <t>入力が足りない合図</t>
  </si>
  <si>
    <t>赤色</t>
  </si>
  <si>
    <t>オレンジ色（責められている感じを減らす）。エラー文もやさしい言い方に</t>
  </si>
  <si>
    <t>内訳（自由記載欄）</t>
  </si>
  <si>
    <t>手入力</t>
  </si>
  <si>
    <t>入力内容から自動作成（入力の手間を削減）</t>
  </si>
  <si>
    <t>事務所用</t>
  </si>
  <si>
    <t>マスタ等が入力シートと同列</t>
  </si>
  <si>
    <t>「事務所用①②③」として後ろにまとめ、組合員さんは触らなくてよいと明記</t>
  </si>
  <si>
    <t>配布用</t>
  </si>
  <si>
    <t>「はじめにお読みください」A4・5手順の説明を追加（支部の電話番号つき）</t>
  </si>
  <si>
    <t>計算結果</t>
  </si>
  <si>
    <t>―</t>
  </si>
  <si>
    <t>前回の改修版・元のファイルと1円単位で一致することを確認</t>
  </si>
  <si>
    <t>【追加・改善】手間賃</t>
  </si>
  <si>
    <t>人数×日数のみ</t>
  </si>
  <si>
    <t>「全体の量÷1日にできる量」でも計算できる表を追加。人工と㎡単価も表示</t>
  </si>
  <si>
    <t>【追加・改善】一人親方</t>
  </si>
  <si>
    <t>（なし）</t>
  </si>
  <si>
    <t>質問7を「雇っていますか？」に変更。一人親方は建設国保・国民年金の相当額と一人親方労災を自動計算（P12）</t>
  </si>
  <si>
    <t>【追加・改善】ほかの費用</t>
  </si>
  <si>
    <t>自由記入5行</t>
  </si>
  <si>
    <t>交通費・道具の損料・仮設・会社の経費（1日あたり or ％）を項目化（P9・P13）</t>
  </si>
  <si>
    <t>【追加・改善】特記事項</t>
  </si>
  <si>
    <t>資材高騰時の協議・工期延長/時間外の精算・追加工事の再見積り・担い手3法の一文を○で選んで印刷（P1・P2・P13）</t>
  </si>
  <si>
    <t>【追加・改善】見積書</t>
  </si>
  <si>
    <t>相手の担当者名・インボイス登録番号を表示。一人親方は「法定福利費相当額」と表示</t>
  </si>
  <si>
    <t>【追加・改善】事務所用</t>
  </si>
  <si>
    <t>CCUSレベル別年収→日額・月額の計算（P7）、一人親方の相当額の計算表を追加</t>
  </si>
  <si>
    <t>【追加・改善】相談</t>
  </si>
  <si>
    <t>はじめに・かんたん入力に「労務費を減らされたら組合に相談」を追加（P14）</t>
  </si>
  <si>
    <t>職種の選び方（修正）</t>
  </si>
  <si>
    <t>55職種＋空欄が並び、選びにくかった</t>
  </si>
  <si>
    <t>住宅・建築でよく使う21職種に絞った（順番は事務所用②のH列で変更可）。リストにない職種は文字で打ち込んでもOK</t>
  </si>
  <si>
    <t>日当（修正）</t>
  </si>
  <si>
    <t>自動表示のみで変更できなかった</t>
  </si>
  <si>
    <t>国の目安が自動で入り、実際の日当を上書きできる（上書きすると青色）。右に「国の目安」も表示</t>
  </si>
  <si>
    <t>【点検反映】完成判定</t>
  </si>
  <si>
    <t>主な項目の空欄だけを確認</t>
  </si>
  <si>
    <t>各行の入力不足・文字の数字・0や負の数・工期の逆転・会社経費の二重入力を数え、「直してほしい所 ○か所」と表示。0か所になるまで「全部入りました」と出ない。見積書にも【下書き】と印刷</t>
  </si>
  <si>
    <t>【点検反映】日当の上書き</t>
  </si>
  <si>
    <t>日当欄を上書き（職種を変えても前の金額が残る）</t>
  </si>
  <si>
    <t>「国の目安」（自動）と「日当を変える時」（入力）を別の列にした。変えた時は青色、目安は取り消し線</t>
  </si>
  <si>
    <t>【点検反映】日当0・未登録の職種</t>
  </si>
  <si>
    <t>0円として計算し完成扱い</t>
  </si>
  <si>
    <t>「要確認」と表示し、完成扱いにしない</t>
  </si>
  <si>
    <t>【点検反映】0での割り算</t>
  </si>
  <si>
    <t>月の稼働日数・1日の作業量に0を入れると0円で隠れる</t>
  </si>
  <si>
    <t>0は入力できない設定にし、計算できない時は「要確認」</t>
  </si>
  <si>
    <t>【点検反映】会社の経費</t>
  </si>
  <si>
    <t>1日あたりと％の両方を入れると二重に加算</t>
  </si>
  <si>
    <t>どちらか一方しか入れられない。両方入っていたら％側は計算しない</t>
  </si>
  <si>
    <t>【点検反映】建退共の質問</t>
  </si>
  <si>
    <t>未加入でも「証紙は元請が用意？」が必須</t>
  </si>
  <si>
    <t>加入している時だけ必須（未加入なら灰色）</t>
  </si>
  <si>
    <t>【点検反映】端数処理</t>
  </si>
  <si>
    <t>法定福利費に1円未満が残っていた</t>
  </si>
  <si>
    <t>法定福利費は合計で1円未満切り捨て。見積書の各金額は円単位に丸めて表示・合計</t>
  </si>
  <si>
    <t>【点検反映】率の上限</t>
  </si>
  <si>
    <t>0以上ならいくらでも入った</t>
  </si>
  <si>
    <t>保険料率0～30%、安全衛生経費率0～20%、会社の経費0～50%の範囲に制限</t>
  </si>
  <si>
    <t>【点検反映】見積書の印刷</t>
  </si>
  <si>
    <t>長い宛名が切れる・特記事項があふれる</t>
  </si>
  <si>
    <t>宛名は縮小して全体表示、特記事項の自由記入は80文字まで</t>
  </si>
  <si>
    <t>【点検反映】一人親方の日数</t>
  </si>
  <si>
    <t>建退共の日数変更欄が一人親方の保険料・労災の日数も変えていた</t>
  </si>
  <si>
    <t>一人親方の計算は実際の働く日数を使う（建退共の日数変更とは別）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</si>
</sst>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0%"/>
    <numFmt numFmtId="177" formatCode="[$-411]ggge&quot;年&quot;m&quot;月&quot;d&quot;日&quot;;@"/>
    <numFmt numFmtId="178" formatCode="#,##0.##"/>
    <numFmt numFmtId="179" formatCode="#,##0.#"/>
    <numFmt numFmtId="180" formatCode="#,##0.0"/>
    <numFmt numFmtId="181" formatCode="#,##0&quot;円&quot;"/>
    <numFmt numFmtId="182" formatCode="&quot;￥&quot;#,##0"/>
    <numFmt numFmtId="183" formatCode="0.0###"/>
    <numFmt numFmtId="184" formatCode="#,##0.0#"/>
    <numFmt numFmtId="185" formatCode="#,##0;\-#,##0;&quot;-&quot;"/>
    <numFmt numFmtId="186" formatCode="&quot;￥&quot;#,##0&quot;－&quot;"/>
  </numFmts>
  <fonts count="52" x14ac:knownFonts="1">
    <font>
      <sz val="11"/>
      <color theme="1"/>
      <name val="ＭＳ Ｐゴシック"/>
      <family val="2"/>
      <scheme val="minor"/>
    </font>
    <font>
      <b/>
      <sz val="16"/>
      <color rgb="FF1F3864"/>
      <name val="游ゴシック"/>
      <family val="3"/>
      <charset val="128"/>
    </font>
    <font>
      <i/>
      <sz val="10.5"/>
      <color rgb="FFC00000"/>
      <name val="游ゴシック"/>
      <family val="3"/>
      <charset val="128"/>
    </font>
    <font>
      <sz val="9"/>
      <color rgb="FF595959"/>
      <name val="游ゴシック"/>
      <family val="3"/>
      <charset val="128"/>
    </font>
    <font>
      <b/>
      <sz val="10.5"/>
      <color rgb="FF000000"/>
      <name val="游ゴシック"/>
      <family val="3"/>
      <charset val="128"/>
    </font>
    <font>
      <sz val="10.5"/>
      <color rgb="FF000000"/>
      <name val="游ゴシック"/>
      <family val="3"/>
      <charset val="128"/>
    </font>
    <font>
      <sz val="9"/>
      <color rgb="FF000000"/>
      <name val="游ゴシック"/>
      <family val="3"/>
      <charset val="128"/>
    </font>
    <font>
      <sz val="9"/>
      <color rgb="FFC00000"/>
      <name val="游ゴシック"/>
      <family val="3"/>
      <charset val="128"/>
    </font>
    <font>
      <sz val="8"/>
      <color rgb="FF000000"/>
      <name val="游ゴシック"/>
      <family val="3"/>
      <charset val="128"/>
    </font>
    <font>
      <b/>
      <sz val="24"/>
      <color rgb="FF1F4E79"/>
      <name val="游ゴシック"/>
      <family val="3"/>
      <charset val="128"/>
    </font>
    <font>
      <b/>
      <sz val="15"/>
      <color rgb="FF000000"/>
      <name val="游ゴシック"/>
      <family val="3"/>
      <charset val="128"/>
    </font>
    <font>
      <b/>
      <sz val="14"/>
      <color rgb="FF00703C"/>
      <name val="游ゴシック"/>
      <family val="3"/>
      <charset val="128"/>
    </font>
    <font>
      <sz val="13"/>
      <color rgb="FFC55A11"/>
      <name val="游ゴシック"/>
      <family val="3"/>
      <charset val="128"/>
    </font>
    <font>
      <b/>
      <sz val="16"/>
      <color rgb="FFFFFFFF"/>
      <name val="游ゴシック"/>
      <family val="3"/>
      <charset val="128"/>
    </font>
    <font>
      <b/>
      <sz val="22"/>
      <color rgb="FF1F4E79"/>
      <name val="游ゴシック"/>
      <family val="3"/>
      <charset val="128"/>
    </font>
    <font>
      <b/>
      <sz val="16"/>
      <color rgb="FF000000"/>
      <name val="游ゴシック"/>
      <family val="3"/>
      <charset val="128"/>
    </font>
    <font>
      <sz val="14"/>
      <color rgb="FF000000"/>
      <name val="游ゴシック"/>
      <family val="3"/>
      <charset val="128"/>
    </font>
    <font>
      <sz val="11"/>
      <color rgb="FF7F7F7F"/>
      <name val="游ゴシック"/>
      <family val="3"/>
      <charset val="128"/>
    </font>
    <font>
      <b/>
      <sz val="13"/>
      <color rgb="FF00703C"/>
      <name val="游ゴシック"/>
      <family val="3"/>
      <charset val="128"/>
    </font>
    <font>
      <sz val="12"/>
      <color rgb="FF404040"/>
      <name val="游ゴシック"/>
      <family val="3"/>
      <charset val="128"/>
    </font>
    <font>
      <b/>
      <sz val="14"/>
      <color rgb="FF000000"/>
      <name val="游ゴシック"/>
      <family val="3"/>
      <charset val="128"/>
    </font>
    <font>
      <b/>
      <sz val="12"/>
      <color rgb="FF000000"/>
      <name val="游ゴシック"/>
      <family val="3"/>
      <charset val="128"/>
    </font>
    <font>
      <sz val="13"/>
      <color rgb="FF1F4E79"/>
      <name val="游ゴシック"/>
      <family val="3"/>
      <charset val="128"/>
    </font>
    <font>
      <b/>
      <sz val="11"/>
      <color rgb="FF000000"/>
      <name val="游ゴシック"/>
      <family val="3"/>
      <charset val="128"/>
    </font>
    <font>
      <sz val="12"/>
      <color rgb="FF000000"/>
      <name val="游ゴシック"/>
      <family val="3"/>
      <charset val="128"/>
    </font>
    <font>
      <sz val="11"/>
      <color rgb="FF404040"/>
      <name val="游ゴシック"/>
      <family val="3"/>
      <charset val="128"/>
    </font>
    <font>
      <sz val="11"/>
      <color rgb="FF000000"/>
      <name val="游ゴシック"/>
      <family val="3"/>
      <charset val="128"/>
    </font>
    <font>
      <sz val="13"/>
      <color rgb="FF000000"/>
      <name val="游ゴシック"/>
      <family val="3"/>
      <charset val="128"/>
    </font>
    <font>
      <sz val="10"/>
      <color rgb="FF7F7F7F"/>
      <name val="游ゴシック"/>
      <family val="3"/>
      <charset val="128"/>
    </font>
    <font>
      <sz val="16"/>
      <color rgb="FF000000"/>
      <name val="游ゴシック"/>
      <family val="3"/>
      <charset val="128"/>
    </font>
    <font>
      <b/>
      <sz val="18"/>
      <color rgb="FF000000"/>
      <name val="游ゴシック"/>
      <family val="3"/>
      <charset val="128"/>
    </font>
    <font>
      <b/>
      <sz val="24"/>
      <color rgb="FF000000"/>
      <name val="游ゴシック"/>
      <family val="3"/>
      <charset val="128"/>
    </font>
    <font>
      <sz val="13"/>
      <color rgb="FFC00000"/>
      <name val="游ゴシック"/>
      <family val="3"/>
      <charset val="128"/>
    </font>
    <font>
      <sz val="14"/>
      <color rgb="FF1F4E79"/>
      <name val="游ゴシック"/>
      <family val="3"/>
      <charset val="128"/>
    </font>
    <font>
      <sz val="6"/>
      <color rgb="FFFFFFFF"/>
      <name val="ＭＳ Ｐゴシック"/>
      <family val="3"/>
      <charset val="128"/>
    </font>
    <font>
      <b/>
      <sz val="18"/>
      <color rgb="FFC55A11"/>
      <name val="游ゴシック"/>
      <family val="3"/>
      <charset val="128"/>
    </font>
    <font>
      <b/>
      <sz val="9.5"/>
      <color rgb="FF000000"/>
      <name val="游ゴシック"/>
      <family val="3"/>
      <charset val="128"/>
    </font>
    <font>
      <sz val="9.5"/>
      <color rgb="FF000000"/>
      <name val="游ゴシック"/>
      <family val="3"/>
      <charset val="128"/>
    </font>
    <font>
      <b/>
      <sz val="20"/>
      <color rgb="FF000000"/>
      <name val="游ゴシック"/>
      <family val="3"/>
      <charset val="128"/>
    </font>
    <font>
      <b/>
      <sz val="10"/>
      <color rgb="FFC00000"/>
      <name val="游ゴシック"/>
      <family val="3"/>
      <charset val="128"/>
    </font>
    <font>
      <sz val="10"/>
      <color rgb="FF000000"/>
      <name val="游ゴシック"/>
      <family val="3"/>
      <charset val="128"/>
    </font>
    <font>
      <b/>
      <sz val="10"/>
      <color rgb="FF000000"/>
      <name val="游ゴシック"/>
      <family val="3"/>
      <charset val="128"/>
    </font>
    <font>
      <sz val="8.5"/>
      <color rgb="FF000000"/>
      <name val="游ゴシック"/>
      <family val="3"/>
      <charset val="128"/>
    </font>
    <font>
      <b/>
      <sz val="9"/>
      <color rgb="FF000000"/>
      <name val="游ゴシック"/>
      <family val="3"/>
      <charset val="128"/>
    </font>
    <font>
      <sz val="10.5"/>
      <color rgb="FFC00000"/>
      <name val="游ゴシック"/>
      <family val="3"/>
      <charset val="128"/>
    </font>
    <font>
      <b/>
      <sz val="28"/>
      <color rgb="FF1F4E79"/>
      <name val="游ゴシック"/>
      <family val="3"/>
      <charset val="128"/>
    </font>
    <font>
      <b/>
      <sz val="36"/>
      <color rgb="FFFFFFFF"/>
      <name val="游ゴシック"/>
      <family val="3"/>
      <charset val="128"/>
    </font>
    <font>
      <sz val="18"/>
      <color rgb="FF000000"/>
      <name val="游ゴシック"/>
      <family val="3"/>
      <charset val="128"/>
    </font>
    <font>
      <sz val="14"/>
      <color rgb="FF00703C"/>
      <name val="游ゴシック"/>
      <family val="3"/>
      <charset val="128"/>
    </font>
    <font>
      <b/>
      <sz val="16"/>
      <color rgb="FF1F4E79"/>
      <name val="游ゴシック"/>
      <family val="3"/>
      <charset val="128"/>
    </font>
    <font>
      <b/>
      <sz val="14"/>
      <color rgb="FF1F3864"/>
      <name val="游ゴシック"/>
      <family val="3"/>
      <charset val="128"/>
    </font>
    <font>
      <sz val="6"/>
      <name val="ＭＳ Ｐゴシック"/>
      <family val="3"/>
      <charset val="128"/>
      <scheme val="minor"/>
    </font>
  </fonts>
  <fills count="7">
    <fill>
      <patternFill patternType="none"/>
    </fill>
    <fill>
      <patternFill patternType="gray125"/>
    </fill>
    <fill>
      <patternFill patternType="solid">
        <fgColor rgb="FFD9E1F2"/>
      </patternFill>
    </fill>
    <fill>
      <patternFill patternType="solid">
        <fgColor rgb="FFFFF2CC"/>
      </patternFill>
    </fill>
    <fill>
      <patternFill patternType="solid">
        <fgColor rgb="FF1F4E79"/>
      </patternFill>
    </fill>
    <fill>
      <patternFill patternType="solid">
        <fgColor rgb="FFEDEDED"/>
      </patternFill>
    </fill>
    <fill>
      <patternFill patternType="solid">
        <fgColor rgb="FFFFFFFF"/>
      </patternFill>
    </fill>
  </fills>
  <borders count="6">
    <border>
      <left/>
      <right/>
      <top/>
      <bottom/>
      <diagonal/>
    </border>
    <border>
      <left style="thin">
        <color rgb="FF808080"/>
      </left>
      <right style="thin">
        <color rgb="FF808080"/>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rgb="FF808080"/>
      </top>
      <bottom style="thin">
        <color rgb="FF808080"/>
      </bottom>
      <diagonal/>
    </border>
    <border>
      <left/>
      <right/>
      <top/>
      <bottom style="medium">
        <color rgb="FF000000"/>
      </bottom>
      <diagonal/>
    </border>
    <border>
      <left/>
      <right/>
      <top/>
      <bottom style="thin">
        <color rgb="FF808080"/>
      </bottom>
      <diagonal/>
    </border>
  </borders>
  <cellStyleXfs count="1">
    <xf numFmtId="0" fontId="0" fillId="0" borderId="0"/>
  </cellStyleXfs>
  <cellXfs count="161">
    <xf numFmtId="0" fontId="0" fillId="0" borderId="0" xfId="0"/>
    <xf numFmtId="0" fontId="46" fillId="4" borderId="0" xfId="0" applyFont="1" applyFill="1" applyAlignment="1">
      <alignment horizontal="center" vertical="center" wrapText="1"/>
    </xf>
    <xf numFmtId="0" fontId="47" fillId="0" borderId="5" xfId="0" applyFont="1" applyBorder="1" applyAlignment="1">
      <alignment vertical="center" wrapText="1"/>
    </xf>
    <xf numFmtId="0" fontId="34" fillId="0" borderId="0" xfId="0" applyFont="1"/>
    <xf numFmtId="0" fontId="14" fillId="0" borderId="0" xfId="0" applyFont="1" applyAlignment="1">
      <alignment horizontal="center" vertical="center" wrapText="1"/>
    </xf>
    <xf numFmtId="0" fontId="18" fillId="0" borderId="0" xfId="0" applyFont="1" applyAlignment="1">
      <alignment horizontal="center" vertical="center"/>
    </xf>
    <xf numFmtId="0" fontId="16" fillId="0" borderId="0" xfId="0" applyFont="1" applyAlignment="1">
      <alignment horizontal="right" vertical="center" wrapText="1"/>
    </xf>
    <xf numFmtId="0" fontId="16" fillId="3" borderId="1" xfId="0" applyFont="1" applyFill="1" applyBorder="1" applyAlignment="1" applyProtection="1">
      <alignment vertical="center" wrapText="1"/>
      <protection locked="0"/>
    </xf>
    <xf numFmtId="0" fontId="17" fillId="0" borderId="0" xfId="0" applyFont="1" applyAlignment="1">
      <alignment vertical="center" wrapText="1"/>
    </xf>
    <xf numFmtId="0" fontId="18" fillId="0" borderId="0" xfId="0" applyFont="1" applyAlignment="1">
      <alignment horizontal="center"/>
    </xf>
    <xf numFmtId="0" fontId="20" fillId="2" borderId="1" xfId="0" applyFont="1" applyFill="1" applyBorder="1" applyAlignment="1">
      <alignment horizontal="center" vertical="center" wrapText="1"/>
    </xf>
    <xf numFmtId="0" fontId="17" fillId="0" borderId="0" xfId="0" applyFont="1" applyAlignment="1">
      <alignment horizontal="center" vertical="center" wrapText="1"/>
    </xf>
    <xf numFmtId="178" fontId="16" fillId="3" borderId="1" xfId="0" applyNumberFormat="1" applyFont="1" applyFill="1" applyBorder="1" applyAlignment="1" applyProtection="1">
      <alignment horizontal="right" vertical="center" wrapText="1"/>
      <protection locked="0"/>
    </xf>
    <xf numFmtId="3" fontId="16" fillId="3" borderId="1" xfId="0" applyNumberFormat="1" applyFont="1" applyFill="1" applyBorder="1" applyAlignment="1" applyProtection="1">
      <alignment horizontal="right" vertical="center" wrapText="1"/>
      <protection locked="0"/>
    </xf>
    <xf numFmtId="3" fontId="16" fillId="5" borderId="1" xfId="0" applyNumberFormat="1" applyFont="1" applyFill="1" applyBorder="1" applyAlignment="1">
      <alignment horizontal="right" vertical="center" wrapText="1"/>
    </xf>
    <xf numFmtId="3" fontId="20" fillId="5" borderId="1" xfId="0" applyNumberFormat="1" applyFont="1" applyFill="1" applyBorder="1" applyAlignment="1">
      <alignment horizontal="right" vertical="center" wrapText="1"/>
    </xf>
    <xf numFmtId="0" fontId="21" fillId="2" borderId="1" xfId="0" applyFont="1" applyFill="1" applyBorder="1" applyAlignment="1">
      <alignment horizontal="center" vertical="center" wrapText="1"/>
    </xf>
    <xf numFmtId="179" fontId="16" fillId="3" borderId="1" xfId="0" applyNumberFormat="1" applyFont="1" applyFill="1" applyBorder="1" applyAlignment="1" applyProtection="1">
      <alignment horizontal="right" vertical="center" wrapText="1"/>
      <protection locked="0"/>
    </xf>
    <xf numFmtId="0" fontId="23" fillId="2" borderId="1" xfId="0" applyFont="1" applyFill="1" applyBorder="1" applyAlignment="1">
      <alignment horizontal="center" vertical="center" wrapText="1"/>
    </xf>
    <xf numFmtId="0" fontId="16" fillId="3" borderId="1" xfId="0" applyFont="1" applyFill="1" applyBorder="1" applyAlignment="1" applyProtection="1">
      <alignment horizontal="center" vertical="center" wrapText="1"/>
      <protection locked="0"/>
    </xf>
    <xf numFmtId="3" fontId="24" fillId="5" borderId="1" xfId="0" applyNumberFormat="1" applyFont="1" applyFill="1" applyBorder="1" applyAlignment="1">
      <alignment horizontal="right" vertical="center" wrapText="1"/>
    </xf>
    <xf numFmtId="3" fontId="24" fillId="3" borderId="1" xfId="0" applyNumberFormat="1" applyFont="1" applyFill="1" applyBorder="1" applyAlignment="1" applyProtection="1">
      <alignment horizontal="right" vertical="center" wrapText="1"/>
      <protection locked="0"/>
    </xf>
    <xf numFmtId="180" fontId="24" fillId="5" borderId="1" xfId="0" applyNumberFormat="1" applyFont="1" applyFill="1" applyBorder="1" applyAlignment="1">
      <alignment horizontal="right" vertical="center" wrapText="1"/>
    </xf>
    <xf numFmtId="181" fontId="24" fillId="5" borderId="1" xfId="0" applyNumberFormat="1" applyFont="1" applyFill="1" applyBorder="1" applyAlignment="1">
      <alignment horizontal="right" vertical="center" wrapText="1"/>
    </xf>
    <xf numFmtId="179" fontId="16" fillId="5" borderId="1" xfId="0" applyNumberFormat="1" applyFont="1" applyFill="1" applyBorder="1" applyAlignment="1">
      <alignment horizontal="right" vertical="center" wrapText="1"/>
    </xf>
    <xf numFmtId="0" fontId="26" fillId="0" borderId="0" xfId="0" applyFont="1" applyAlignment="1">
      <alignment horizontal="right" vertical="center" wrapText="1"/>
    </xf>
    <xf numFmtId="0" fontId="24" fillId="0" borderId="0" xfId="0" applyFont="1" applyAlignment="1">
      <alignment horizontal="right" vertical="center" wrapText="1"/>
    </xf>
    <xf numFmtId="0" fontId="27" fillId="0" borderId="1" xfId="0" applyFont="1" applyBorder="1" applyAlignment="1">
      <alignment vertical="center" wrapText="1"/>
    </xf>
    <xf numFmtId="179" fontId="16" fillId="6" borderId="1" xfId="0" applyNumberFormat="1" applyFont="1" applyFill="1" applyBorder="1" applyAlignment="1" applyProtection="1">
      <alignment horizontal="right" vertical="center" wrapText="1"/>
      <protection locked="0"/>
    </xf>
    <xf numFmtId="3" fontId="16" fillId="6" borderId="1" xfId="0" applyNumberFormat="1" applyFont="1" applyFill="1" applyBorder="1" applyAlignment="1" applyProtection="1">
      <alignment horizontal="right" vertical="center" wrapText="1"/>
      <protection locked="0"/>
    </xf>
    <xf numFmtId="0" fontId="28" fillId="0" borderId="0" xfId="0" applyFont="1"/>
    <xf numFmtId="0" fontId="24" fillId="0" borderId="1" xfId="0" applyFont="1" applyBorder="1" applyAlignment="1">
      <alignment vertical="center" wrapText="1"/>
    </xf>
    <xf numFmtId="9" fontId="16" fillId="3" borderId="1" xfId="0" applyNumberFormat="1" applyFont="1" applyFill="1" applyBorder="1" applyAlignment="1" applyProtection="1">
      <alignment horizontal="right" vertical="center" wrapText="1"/>
      <protection locked="0"/>
    </xf>
    <xf numFmtId="0" fontId="29" fillId="3" borderId="1" xfId="0" applyFont="1" applyFill="1" applyBorder="1" applyAlignment="1" applyProtection="1">
      <alignment horizontal="center" vertical="center" wrapText="1"/>
      <protection locked="0"/>
    </xf>
    <xf numFmtId="0" fontId="28" fillId="0" borderId="0" xfId="0" applyFont="1" applyAlignment="1">
      <alignment horizontal="center" vertical="center" wrapText="1"/>
    </xf>
    <xf numFmtId="0" fontId="4" fillId="2" borderId="1" xfId="0" applyFont="1" applyFill="1" applyBorder="1" applyAlignment="1">
      <alignment vertical="center"/>
    </xf>
    <xf numFmtId="0" fontId="6" fillId="0" borderId="0" xfId="0" applyFont="1" applyAlignment="1">
      <alignment horizontal="right" vertical="center"/>
    </xf>
    <xf numFmtId="0" fontId="40" fillId="0" borderId="1" xfId="0" applyFont="1" applyBorder="1" applyAlignment="1">
      <alignment vertical="center" wrapText="1"/>
    </xf>
    <xf numFmtId="0" fontId="6" fillId="0" borderId="1" xfId="0" applyFont="1" applyBorder="1" applyAlignment="1">
      <alignment vertical="center" wrapText="1"/>
    </xf>
    <xf numFmtId="0" fontId="40" fillId="0" borderId="1" xfId="0" applyFont="1" applyBorder="1" applyAlignment="1">
      <alignment horizontal="center" vertical="center"/>
    </xf>
    <xf numFmtId="177" fontId="6"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0" xfId="0" applyFont="1" applyAlignment="1">
      <alignment vertical="center"/>
    </xf>
    <xf numFmtId="0" fontId="8" fillId="0" borderId="0" xfId="0" applyFont="1" applyAlignment="1">
      <alignment vertical="center"/>
    </xf>
    <xf numFmtId="0" fontId="4" fillId="2" borderId="1" xfId="0" applyFont="1" applyFill="1" applyBorder="1" applyAlignment="1">
      <alignment horizontal="center" vertical="center"/>
    </xf>
    <xf numFmtId="0" fontId="21" fillId="2" borderId="1" xfId="0" applyFont="1" applyFill="1" applyBorder="1" applyAlignment="1">
      <alignment horizontal="center" vertical="center"/>
    </xf>
    <xf numFmtId="0" fontId="4" fillId="0" borderId="0" xfId="0" applyFont="1" applyAlignment="1">
      <alignment vertical="center"/>
    </xf>
    <xf numFmtId="0" fontId="41" fillId="0" borderId="0" xfId="0" applyFont="1" applyAlignment="1">
      <alignment vertical="center"/>
    </xf>
    <xf numFmtId="0" fontId="1" fillId="0" borderId="0" xfId="0" applyFont="1"/>
    <xf numFmtId="0" fontId="2" fillId="0" borderId="0" xfId="0" applyFont="1" applyAlignment="1">
      <alignment vertical="center"/>
    </xf>
    <xf numFmtId="0" fontId="3" fillId="0" borderId="0" xfId="0" applyFont="1"/>
    <xf numFmtId="0" fontId="4" fillId="0" borderId="1" xfId="0" applyFont="1" applyBorder="1" applyAlignment="1">
      <alignment vertical="center"/>
    </xf>
    <xf numFmtId="3" fontId="4" fillId="5" borderId="1" xfId="0" applyNumberFormat="1" applyFont="1" applyFill="1" applyBorder="1" applyAlignment="1">
      <alignment vertical="center"/>
    </xf>
    <xf numFmtId="0" fontId="6" fillId="0" borderId="1" xfId="0" applyFont="1" applyBorder="1" applyAlignment="1">
      <alignment vertical="center"/>
    </xf>
    <xf numFmtId="0" fontId="5" fillId="5" borderId="1" xfId="0" applyFont="1" applyFill="1" applyBorder="1" applyAlignment="1">
      <alignment horizontal="center" vertical="center"/>
    </xf>
    <xf numFmtId="0" fontId="36" fillId="2" borderId="1" xfId="0" applyFont="1" applyFill="1" applyBorder="1" applyAlignment="1">
      <alignment horizontal="center" vertical="center" wrapText="1"/>
    </xf>
    <xf numFmtId="0" fontId="5" fillId="0" borderId="1" xfId="0" applyFont="1" applyBorder="1" applyAlignment="1">
      <alignment vertical="center"/>
    </xf>
    <xf numFmtId="0" fontId="5" fillId="3" borderId="1" xfId="0" applyFont="1" applyFill="1" applyBorder="1" applyAlignment="1" applyProtection="1">
      <alignment horizontal="center" vertical="center"/>
      <protection locked="0"/>
    </xf>
    <xf numFmtId="176" fontId="5" fillId="5" borderId="1" xfId="0" applyNumberFormat="1" applyFont="1" applyFill="1" applyBorder="1" applyAlignment="1">
      <alignment vertical="center"/>
    </xf>
    <xf numFmtId="176" fontId="5" fillId="3" borderId="1" xfId="0" applyNumberFormat="1" applyFont="1" applyFill="1" applyBorder="1" applyAlignment="1" applyProtection="1">
      <alignment vertical="center"/>
      <protection locked="0"/>
    </xf>
    <xf numFmtId="3" fontId="5" fillId="5" borderId="1" xfId="0" applyNumberFormat="1" applyFont="1" applyFill="1" applyBorder="1" applyAlignment="1">
      <alignment vertical="center"/>
    </xf>
    <xf numFmtId="0" fontId="4" fillId="0" borderId="1" xfId="0" applyFont="1" applyBorder="1" applyAlignment="1">
      <alignment horizontal="right" vertical="center"/>
    </xf>
    <xf numFmtId="179" fontId="5" fillId="5" borderId="1" xfId="0" applyNumberFormat="1" applyFont="1" applyFill="1" applyBorder="1" applyAlignment="1">
      <alignment vertical="center"/>
    </xf>
    <xf numFmtId="179" fontId="5" fillId="3" borderId="1" xfId="0" applyNumberFormat="1" applyFont="1" applyFill="1" applyBorder="1" applyAlignment="1" applyProtection="1">
      <alignment vertical="center"/>
      <protection locked="0"/>
    </xf>
    <xf numFmtId="10" fontId="5" fillId="3" borderId="1" xfId="0" applyNumberFormat="1" applyFont="1" applyFill="1" applyBorder="1" applyAlignment="1" applyProtection="1">
      <alignment vertical="center"/>
      <protection locked="0"/>
    </xf>
    <xf numFmtId="0" fontId="5" fillId="3" borderId="1" xfId="0" applyFont="1" applyFill="1" applyBorder="1" applyAlignment="1" applyProtection="1">
      <alignment vertical="center"/>
      <protection locked="0"/>
    </xf>
    <xf numFmtId="178" fontId="5" fillId="3" borderId="1" xfId="0" applyNumberFormat="1" applyFont="1" applyFill="1" applyBorder="1" applyAlignment="1" applyProtection="1">
      <alignment vertical="center"/>
      <protection locked="0"/>
    </xf>
    <xf numFmtId="183" fontId="5" fillId="3" borderId="1" xfId="0" applyNumberFormat="1" applyFont="1" applyFill="1" applyBorder="1" applyAlignment="1" applyProtection="1">
      <alignment vertical="center"/>
      <protection locked="0"/>
    </xf>
    <xf numFmtId="3" fontId="5" fillId="3" borderId="1" xfId="0" applyNumberFormat="1" applyFont="1" applyFill="1" applyBorder="1" applyAlignment="1" applyProtection="1">
      <alignment vertical="center"/>
      <protection locked="0"/>
    </xf>
    <xf numFmtId="184" fontId="5" fillId="5" borderId="1" xfId="0" applyNumberFormat="1" applyFont="1" applyFill="1" applyBorder="1" applyAlignment="1">
      <alignment vertical="center"/>
    </xf>
    <xf numFmtId="184" fontId="4" fillId="5" borderId="1" xfId="0" applyNumberFormat="1" applyFont="1" applyFill="1" applyBorder="1" applyAlignment="1">
      <alignment vertical="center"/>
    </xf>
    <xf numFmtId="0" fontId="37" fillId="0" borderId="1" xfId="0" applyFont="1" applyBorder="1" applyAlignment="1">
      <alignment vertical="center" wrapText="1"/>
    </xf>
    <xf numFmtId="0" fontId="36" fillId="0" borderId="1" xfId="0" applyFont="1" applyBorder="1" applyAlignment="1">
      <alignment vertical="center" wrapText="1"/>
    </xf>
    <xf numFmtId="176" fontId="5" fillId="0" borderId="1" xfId="0" applyNumberFormat="1" applyFont="1" applyBorder="1" applyAlignment="1">
      <alignment vertical="center"/>
    </xf>
    <xf numFmtId="9" fontId="5" fillId="3" borderId="1" xfId="0" applyNumberFormat="1" applyFont="1" applyFill="1" applyBorder="1" applyAlignment="1" applyProtection="1">
      <alignment vertical="center"/>
      <protection locked="0"/>
    </xf>
    <xf numFmtId="0" fontId="7" fillId="0" borderId="1" xfId="0" applyFont="1" applyBorder="1" applyAlignment="1">
      <alignment vertical="center"/>
    </xf>
    <xf numFmtId="0" fontId="6" fillId="0" borderId="0" xfId="0" applyFont="1"/>
    <xf numFmtId="0" fontId="7" fillId="0" borderId="0" xfId="0" applyFont="1"/>
    <xf numFmtId="0" fontId="43" fillId="2" borderId="1" xfId="0" applyFont="1" applyFill="1" applyBorder="1" applyAlignment="1">
      <alignment horizontal="center" vertical="center"/>
    </xf>
    <xf numFmtId="0" fontId="44" fillId="0" borderId="0" xfId="0" applyFont="1"/>
    <xf numFmtId="0" fontId="21" fillId="0" borderId="1" xfId="0" applyFont="1" applyBorder="1" applyAlignment="1">
      <alignment vertical="center" wrapText="1"/>
    </xf>
    <xf numFmtId="0" fontId="26" fillId="0" borderId="1" xfId="0" applyFont="1" applyBorder="1" applyAlignment="1">
      <alignment vertical="center" wrapText="1"/>
    </xf>
    <xf numFmtId="0" fontId="50" fillId="0" borderId="0" xfId="0" applyFont="1"/>
    <xf numFmtId="0" fontId="48" fillId="0" borderId="0" xfId="0" applyFont="1" applyAlignment="1">
      <alignment vertical="center" wrapText="1"/>
    </xf>
    <xf numFmtId="0" fontId="0" fillId="0" borderId="0" xfId="0"/>
    <xf numFmtId="0" fontId="29" fillId="0" borderId="0" xfId="0" applyFont="1" applyAlignment="1">
      <alignment horizontal="center" vertical="center" wrapText="1"/>
    </xf>
    <xf numFmtId="0" fontId="49" fillId="2" borderId="0" xfId="0" applyFont="1" applyFill="1" applyAlignment="1">
      <alignment horizontal="center" vertical="center" wrapText="1"/>
    </xf>
    <xf numFmtId="0" fontId="45" fillId="0" borderId="0" xfId="0" applyFont="1" applyAlignment="1">
      <alignment horizontal="center" vertical="center" wrapText="1"/>
    </xf>
    <xf numFmtId="0" fontId="13" fillId="4" borderId="0" xfId="0" applyFont="1" applyFill="1" applyAlignment="1">
      <alignment vertical="center" wrapText="1"/>
    </xf>
    <xf numFmtId="0" fontId="24" fillId="0" borderId="0" xfId="0" applyFont="1" applyAlignment="1">
      <alignment vertical="center" wrapText="1"/>
    </xf>
    <xf numFmtId="0" fontId="22" fillId="0" borderId="0" xfId="0" applyFont="1" applyAlignment="1">
      <alignment vertical="center" wrapText="1"/>
    </xf>
    <xf numFmtId="0" fontId="11" fillId="0" borderId="0" xfId="0" applyFont="1" applyAlignment="1">
      <alignment vertical="center" wrapText="1"/>
    </xf>
    <xf numFmtId="0" fontId="20" fillId="2" borderId="1" xfId="0" applyFont="1" applyFill="1" applyBorder="1" applyAlignment="1">
      <alignment horizontal="center" vertical="center" wrapText="1"/>
    </xf>
    <xf numFmtId="0" fontId="0" fillId="0" borderId="1" xfId="0" applyBorder="1"/>
    <xf numFmtId="3" fontId="16" fillId="3" borderId="1" xfId="0" applyNumberFormat="1" applyFont="1" applyFill="1" applyBorder="1" applyAlignment="1" applyProtection="1">
      <alignment horizontal="right" vertical="center" wrapText="1"/>
      <protection locked="0"/>
    </xf>
    <xf numFmtId="0" fontId="0" fillId="0" borderId="1" xfId="0" applyBorder="1" applyProtection="1">
      <protection locked="0"/>
    </xf>
    <xf numFmtId="0" fontId="19" fillId="0" borderId="0" xfId="0" applyFont="1" applyAlignment="1">
      <alignment vertical="center" wrapText="1"/>
    </xf>
    <xf numFmtId="0" fontId="15" fillId="0" borderId="0" xfId="0" applyFont="1" applyAlignment="1">
      <alignment vertical="center" wrapText="1"/>
    </xf>
    <xf numFmtId="0" fontId="24" fillId="0" borderId="1" xfId="0" applyFont="1" applyBorder="1" applyAlignment="1">
      <alignment horizontal="right" vertical="center" wrapText="1"/>
    </xf>
    <xf numFmtId="0" fontId="16" fillId="3" borderId="1" xfId="0" applyFont="1" applyFill="1" applyBorder="1" applyAlignment="1" applyProtection="1">
      <alignment vertical="center" wrapText="1"/>
      <protection locked="0"/>
    </xf>
    <xf numFmtId="0" fontId="35" fillId="0" borderId="0" xfId="0" applyFont="1" applyAlignment="1">
      <alignment horizontal="center" vertical="center" wrapText="1"/>
    </xf>
    <xf numFmtId="0" fontId="20" fillId="0" borderId="1" xfId="0" applyFont="1" applyBorder="1" applyAlignment="1">
      <alignment horizontal="right" vertical="center" wrapText="1"/>
    </xf>
    <xf numFmtId="3" fontId="24" fillId="0" borderId="1" xfId="0" applyNumberFormat="1" applyFont="1" applyBorder="1" applyAlignment="1">
      <alignment horizontal="right" vertical="center" wrapText="1"/>
    </xf>
    <xf numFmtId="0" fontId="24" fillId="0" borderId="1" xfId="0" applyFont="1" applyBorder="1" applyAlignment="1">
      <alignment vertical="center" wrapText="1"/>
    </xf>
    <xf numFmtId="3" fontId="16" fillId="0" borderId="1" xfId="0" applyNumberFormat="1" applyFont="1" applyBorder="1" applyAlignment="1">
      <alignment horizontal="right" vertical="center" wrapText="1"/>
    </xf>
    <xf numFmtId="0" fontId="24" fillId="3" borderId="1" xfId="0" applyFont="1" applyFill="1" applyBorder="1" applyAlignment="1" applyProtection="1">
      <alignment vertical="center" wrapText="1"/>
      <protection locked="0"/>
    </xf>
    <xf numFmtId="0" fontId="16" fillId="0" borderId="0" xfId="0" applyFont="1" applyAlignment="1">
      <alignment vertical="center" wrapText="1"/>
    </xf>
    <xf numFmtId="182" fontId="31" fillId="0" borderId="1" xfId="0" applyNumberFormat="1" applyFont="1" applyBorder="1" applyAlignment="1">
      <alignment horizontal="right" vertical="center" wrapText="1"/>
    </xf>
    <xf numFmtId="3" fontId="16" fillId="3" borderId="1" xfId="0" applyNumberFormat="1" applyFont="1" applyFill="1" applyBorder="1" applyAlignment="1" applyProtection="1">
      <alignment horizontal="right" vertical="center"/>
      <protection locked="0"/>
    </xf>
    <xf numFmtId="177" fontId="16" fillId="3" borderId="1" xfId="0" applyNumberFormat="1" applyFont="1" applyFill="1" applyBorder="1" applyAlignment="1" applyProtection="1">
      <alignment vertical="center" wrapText="1"/>
      <protection locked="0"/>
    </xf>
    <xf numFmtId="0" fontId="16" fillId="0" borderId="1" xfId="0" applyFont="1" applyBorder="1" applyAlignment="1">
      <alignment horizontal="center" vertical="center" wrapText="1"/>
    </xf>
    <xf numFmtId="0" fontId="32" fillId="0" borderId="0" xfId="0" applyFont="1" applyAlignment="1">
      <alignment vertical="center" wrapText="1"/>
    </xf>
    <xf numFmtId="0" fontId="10" fillId="0" borderId="0" xfId="0" applyFont="1" applyAlignment="1">
      <alignment vertical="center" wrapText="1"/>
    </xf>
    <xf numFmtId="0" fontId="16" fillId="3" borderId="1" xfId="0" applyFont="1" applyFill="1" applyBorder="1" applyAlignment="1" applyProtection="1">
      <alignment horizontal="center" vertical="center" wrapText="1"/>
      <protection locked="0"/>
    </xf>
    <xf numFmtId="0" fontId="25" fillId="0" borderId="0" xfId="0" applyFont="1" applyAlignment="1">
      <alignment vertical="center" wrapText="1"/>
    </xf>
    <xf numFmtId="0" fontId="16" fillId="0" borderId="1" xfId="0" applyFont="1" applyBorder="1" applyAlignment="1">
      <alignment horizontal="right" vertical="center" wrapText="1"/>
    </xf>
    <xf numFmtId="0" fontId="33"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wrapText="1"/>
    </xf>
    <xf numFmtId="0" fontId="30" fillId="2" borderId="1" xfId="0" applyFont="1" applyFill="1" applyBorder="1" applyAlignment="1">
      <alignment horizontal="center" vertical="center" wrapText="1"/>
    </xf>
    <xf numFmtId="0" fontId="28" fillId="0" borderId="0" xfId="0" applyFont="1" applyAlignment="1">
      <alignment vertical="center" wrapText="1"/>
    </xf>
    <xf numFmtId="0" fontId="40" fillId="0" borderId="1" xfId="0" applyFont="1" applyBorder="1" applyAlignment="1">
      <alignment vertical="center" wrapText="1"/>
    </xf>
    <xf numFmtId="185" fontId="40" fillId="0" borderId="1" xfId="0" applyNumberFormat="1" applyFont="1" applyBorder="1" applyAlignment="1">
      <alignment horizontal="right" vertical="center"/>
    </xf>
    <xf numFmtId="0" fontId="21" fillId="0" borderId="0" xfId="0" applyFont="1" applyAlignment="1">
      <alignment vertical="center" wrapText="1"/>
    </xf>
    <xf numFmtId="0" fontId="6" fillId="0" borderId="0" xfId="0" applyFont="1" applyAlignment="1">
      <alignment horizontal="right" vertical="center"/>
    </xf>
    <xf numFmtId="0" fontId="40" fillId="0" borderId="0" xfId="0" applyFont="1" applyAlignment="1">
      <alignment vertical="center"/>
    </xf>
    <xf numFmtId="177" fontId="40" fillId="0" borderId="1" xfId="0" applyNumberFormat="1" applyFont="1" applyBorder="1" applyAlignment="1">
      <alignment vertical="center" wrapText="1"/>
    </xf>
    <xf numFmtId="0" fontId="5" fillId="0" borderId="0" xfId="0" applyFont="1" applyAlignment="1">
      <alignment horizontal="right" vertical="center"/>
    </xf>
    <xf numFmtId="0" fontId="5" fillId="0" borderId="1" xfId="0" applyFont="1" applyBorder="1" applyAlignment="1">
      <alignment vertical="center" wrapText="1"/>
    </xf>
    <xf numFmtId="185" fontId="5" fillId="0" borderId="1" xfId="0" applyNumberFormat="1" applyFont="1" applyBorder="1" applyAlignment="1">
      <alignment horizontal="right" vertical="center"/>
    </xf>
    <xf numFmtId="0" fontId="8" fillId="0" borderId="0" xfId="0" applyFont="1" applyAlignment="1">
      <alignment vertical="center" wrapText="1"/>
    </xf>
    <xf numFmtId="186" fontId="10" fillId="0" borderId="1" xfId="0" applyNumberFormat="1" applyFont="1" applyBorder="1" applyAlignment="1">
      <alignment horizontal="right" vertical="center"/>
    </xf>
    <xf numFmtId="0" fontId="5" fillId="2" borderId="1" xfId="0" applyFont="1" applyFill="1" applyBorder="1" applyAlignment="1">
      <alignment horizontal="center" vertical="center"/>
    </xf>
    <xf numFmtId="0" fontId="40" fillId="0" borderId="1" xfId="0" applyFont="1" applyBorder="1" applyAlignment="1">
      <alignment vertical="center"/>
    </xf>
    <xf numFmtId="0" fontId="38" fillId="0" borderId="0" xfId="0" applyFont="1" applyAlignment="1">
      <alignment horizontal="center" vertical="center"/>
    </xf>
    <xf numFmtId="0" fontId="4" fillId="2" borderId="1" xfId="0" applyFont="1" applyFill="1" applyBorder="1" applyAlignment="1">
      <alignment horizontal="center" vertical="center"/>
    </xf>
    <xf numFmtId="0" fontId="8" fillId="0" borderId="0" xfId="0" applyFont="1" applyAlignment="1">
      <alignment vertical="top" wrapText="1"/>
    </xf>
    <xf numFmtId="0" fontId="4" fillId="0" borderId="0" xfId="0" applyFont="1" applyAlignment="1">
      <alignment vertical="center"/>
    </xf>
    <xf numFmtId="3" fontId="5" fillId="0" borderId="1" xfId="0" applyNumberFormat="1" applyFont="1" applyBorder="1" applyAlignment="1">
      <alignment horizontal="right" vertical="center"/>
    </xf>
    <xf numFmtId="177" fontId="6" fillId="0" borderId="0" xfId="0" applyNumberFormat="1" applyFont="1" applyAlignment="1">
      <alignment horizontal="right" vertical="center"/>
    </xf>
    <xf numFmtId="0" fontId="21" fillId="2" borderId="1" xfId="0" applyFont="1" applyFill="1" applyBorder="1" applyAlignment="1">
      <alignment horizontal="center" vertical="center"/>
    </xf>
    <xf numFmtId="9" fontId="5" fillId="0" borderId="1" xfId="0" applyNumberFormat="1" applyFont="1" applyBorder="1" applyAlignment="1">
      <alignment horizontal="right" vertical="center"/>
    </xf>
    <xf numFmtId="0" fontId="41" fillId="0" borderId="0" xfId="0" applyFont="1" applyAlignment="1">
      <alignment vertical="center" wrapText="1"/>
    </xf>
    <xf numFmtId="0" fontId="8" fillId="0" borderId="0" xfId="0" applyFont="1" applyAlignment="1">
      <alignment vertical="center"/>
    </xf>
    <xf numFmtId="0" fontId="6" fillId="0" borderId="0" xfId="0" applyFont="1" applyAlignment="1">
      <alignment vertical="center" wrapText="1"/>
    </xf>
    <xf numFmtId="0" fontId="42" fillId="0" borderId="1" xfId="0" applyFont="1" applyBorder="1" applyAlignment="1">
      <alignment vertical="top" wrapText="1"/>
    </xf>
    <xf numFmtId="0" fontId="20" fillId="0" borderId="4" xfId="0" applyFont="1" applyBorder="1" applyAlignment="1">
      <alignment vertical="center" shrinkToFit="1"/>
    </xf>
    <xf numFmtId="0" fontId="0" fillId="0" borderId="4" xfId="0" applyBorder="1"/>
    <xf numFmtId="3" fontId="21" fillId="0" borderId="1" xfId="0" applyNumberFormat="1" applyFont="1" applyBorder="1" applyAlignment="1">
      <alignment horizontal="right" vertical="center"/>
    </xf>
    <xf numFmtId="0" fontId="39" fillId="0" borderId="0" xfId="0" applyFont="1" applyAlignment="1">
      <alignment vertical="center"/>
    </xf>
    <xf numFmtId="0" fontId="6" fillId="0" borderId="0" xfId="0" applyFont="1" applyAlignment="1">
      <alignment vertical="center"/>
    </xf>
    <xf numFmtId="177" fontId="8" fillId="0" borderId="0" xfId="0" applyNumberFormat="1" applyFont="1" applyAlignment="1">
      <alignment vertical="center"/>
    </xf>
    <xf numFmtId="0" fontId="5" fillId="5" borderId="1" xfId="0" applyFont="1" applyFill="1" applyBorder="1" applyAlignment="1">
      <alignment vertical="center"/>
    </xf>
    <xf numFmtId="0" fontId="0" fillId="0" borderId="3" xfId="0" applyBorder="1"/>
    <xf numFmtId="0" fontId="0" fillId="0" borderId="2" xfId="0" applyBorder="1"/>
    <xf numFmtId="0" fontId="5" fillId="3" borderId="1" xfId="0" applyFont="1" applyFill="1" applyBorder="1" applyAlignment="1" applyProtection="1">
      <alignment horizontal="center" vertical="center"/>
      <protection locked="0"/>
    </xf>
    <xf numFmtId="0" fontId="0" fillId="0" borderId="2" xfId="0" applyBorder="1" applyProtection="1">
      <protection locked="0"/>
    </xf>
    <xf numFmtId="0" fontId="5" fillId="3" borderId="1" xfId="0" applyFont="1" applyFill="1" applyBorder="1" applyAlignment="1" applyProtection="1">
      <alignment vertical="center"/>
      <protection locked="0"/>
    </xf>
    <xf numFmtId="0" fontId="0" fillId="0" borderId="3" xfId="0" applyBorder="1" applyProtection="1">
      <protection locked="0"/>
    </xf>
    <xf numFmtId="0" fontId="6" fillId="2" borderId="1" xfId="0" applyFont="1" applyFill="1" applyBorder="1" applyAlignment="1">
      <alignment horizontal="center" vertical="center" wrapText="1"/>
    </xf>
    <xf numFmtId="0" fontId="43" fillId="2" borderId="1" xfId="0" applyFont="1" applyFill="1" applyBorder="1" applyAlignment="1">
      <alignment horizontal="center" vertical="center"/>
    </xf>
  </cellXfs>
  <cellStyles count="1">
    <cellStyle name="標準" xfId="0" builtinId="0"/>
  </cellStyles>
  <dxfs count="38">
    <dxf>
      <font>
        <b/>
        <sz val="18"/>
        <color rgb="FF00703C"/>
      </font>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F2CC"/>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ont>
        <color rgb="FFA6A6A6"/>
      </font>
      <fill>
        <patternFill patternType="solid">
          <fgColor rgb="FFD9D9D9"/>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ont>
        <color rgb="FFA6A6A6"/>
      </font>
      <fill>
        <patternFill patternType="solid">
          <fgColor rgb="FFD9D9D9"/>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ont>
        <color rgb="FFA6A6A6"/>
      </font>
      <fill>
        <patternFill patternType="solid">
          <fgColor rgb="FFD9D9D9"/>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ont>
        <strike/>
        <color rgb="FFA6A6A6"/>
      </font>
    </dxf>
    <dxf>
      <fill>
        <patternFill patternType="solid">
          <fgColor rgb="FFFFD8A8"/>
        </patternFill>
      </fill>
      <border>
        <left style="thick">
          <color rgb="FFED7D31"/>
        </left>
        <right style="thick">
          <color rgb="FFED7D31"/>
        </right>
        <top style="thick">
          <color rgb="FFED7D31"/>
        </top>
        <bottom style="thick">
          <color rgb="FFED7D31"/>
        </bottom>
      </border>
    </dxf>
    <dxf>
      <font>
        <b/>
        <color rgb="FF1F4E79"/>
      </font>
      <fill>
        <patternFill patternType="solid">
          <fgColor rgb="FFDDEBF7"/>
        </patternFill>
      </fill>
    </dxf>
    <dxf>
      <font>
        <strike/>
        <color rgb="FFA6A6A6"/>
      </font>
    </dxf>
    <dxf>
      <font>
        <b/>
        <color rgb="FF1F4E79"/>
      </font>
      <fill>
        <patternFill patternType="solid">
          <fgColor rgb="FFDDEBF7"/>
        </patternFill>
      </fill>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
      <fill>
        <patternFill patternType="solid">
          <fgColor rgb="FFFFD8A8"/>
        </patternFill>
      </fill>
      <border>
        <left style="thick">
          <color rgb="FFED7D31"/>
        </left>
        <right style="thick">
          <color rgb="FFED7D31"/>
        </right>
        <top style="thick">
          <color rgb="FFED7D31"/>
        </top>
        <bottom style="thick">
          <color rgb="FFED7D31"/>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AD47"/>
    <pageSetUpPr fitToPage="1"/>
  </sheetPr>
  <dimension ref="B2:C13"/>
  <sheetViews>
    <sheetView showGridLines="0" workbookViewId="0"/>
  </sheetViews>
  <sheetFormatPr defaultRowHeight="13.5" x14ac:dyDescent="0.15"/>
  <cols>
    <col min="1" max="1" width="3" customWidth="1"/>
    <col min="2" max="2" width="10" customWidth="1"/>
    <col min="3" max="3" width="80" customWidth="1"/>
  </cols>
  <sheetData>
    <row r="2" spans="2:3" ht="50.1" customHeight="1" x14ac:dyDescent="0.15">
      <c r="B2" s="87" t="s">
        <v>0</v>
      </c>
      <c r="C2" s="84"/>
    </row>
    <row r="3" spans="2:3" ht="33.950000000000003" customHeight="1" x14ac:dyDescent="0.15">
      <c r="B3" s="85" t="s">
        <v>1</v>
      </c>
      <c r="C3" s="84"/>
    </row>
    <row r="5" spans="2:3" ht="80.099999999999994" customHeight="1" x14ac:dyDescent="0.15">
      <c r="B5" s="1" t="s">
        <v>2</v>
      </c>
      <c r="C5" s="2" t="s">
        <v>3</v>
      </c>
    </row>
    <row r="6" spans="2:3" ht="80.099999999999994" customHeight="1" x14ac:dyDescent="0.15">
      <c r="B6" s="1" t="s">
        <v>4</v>
      </c>
      <c r="C6" s="2" t="s">
        <v>5</v>
      </c>
    </row>
    <row r="7" spans="2:3" ht="80.099999999999994" customHeight="1" x14ac:dyDescent="0.15">
      <c r="B7" s="1" t="s">
        <v>6</v>
      </c>
      <c r="C7" s="2" t="s">
        <v>7</v>
      </c>
    </row>
    <row r="8" spans="2:3" ht="80.099999999999994" customHeight="1" x14ac:dyDescent="0.15">
      <c r="B8" s="1" t="s">
        <v>8</v>
      </c>
      <c r="C8" s="2" t="s">
        <v>9</v>
      </c>
    </row>
    <row r="9" spans="2:3" ht="80.099999999999994" customHeight="1" x14ac:dyDescent="0.15">
      <c r="B9" s="1" t="s">
        <v>10</v>
      </c>
      <c r="C9" s="2" t="s">
        <v>11</v>
      </c>
    </row>
    <row r="11" spans="2:3" ht="129.94999999999999" customHeight="1" x14ac:dyDescent="0.15">
      <c r="B11" s="83" t="s">
        <v>12</v>
      </c>
      <c r="C11" s="84"/>
    </row>
    <row r="13" spans="2:3" ht="99.95" customHeight="1" x14ac:dyDescent="0.15">
      <c r="B13" s="86" t="s">
        <v>13</v>
      </c>
      <c r="C13" s="84"/>
    </row>
  </sheetData>
  <sheetProtection sheet="1" formatCells="0" formatColumns="0" formatRows="0"/>
  <mergeCells count="4">
    <mergeCell ref="B11:C11"/>
    <mergeCell ref="B3:C3"/>
    <mergeCell ref="B13:C13"/>
    <mergeCell ref="B2:C2"/>
  </mergeCells>
  <phoneticPr fontId="51"/>
  <printOptions horizontalCentered="1"/>
  <pageMargins left="0.4" right="0.4" top="0.5" bottom="0.5"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J145"/>
  <sheetViews>
    <sheetView tabSelected="1" showGridLines="0" zoomScale="85" zoomScaleNormal="85" workbookViewId="0">
      <pane ySplit="5" topLeftCell="A6" activePane="bottomLeft" state="frozen"/>
      <selection pane="bottomLeft" activeCell="C9" sqref="C9:E9"/>
    </sheetView>
  </sheetViews>
  <sheetFormatPr defaultRowHeight="13.5" x14ac:dyDescent="0.15"/>
  <cols>
    <col min="1" max="1" width="8" customWidth="1"/>
    <col min="2" max="2" width="30" customWidth="1"/>
    <col min="3" max="4" width="13" customWidth="1"/>
    <col min="5" max="5" width="15" customWidth="1"/>
    <col min="6" max="6" width="24" customWidth="1"/>
    <col min="7" max="8" width="13" customWidth="1"/>
    <col min="9" max="9" width="11" customWidth="1"/>
    <col min="10" max="10" width="13" customWidth="1"/>
  </cols>
  <sheetData>
    <row r="1" spans="1:8" ht="39.950000000000003" customHeight="1" x14ac:dyDescent="0.15">
      <c r="A1" s="117" t="s">
        <v>14</v>
      </c>
      <c r="B1" s="84"/>
      <c r="C1" s="84"/>
      <c r="D1" s="84"/>
      <c r="E1" s="84"/>
      <c r="F1" s="84"/>
    </row>
    <row r="2" spans="1:8" ht="30" customHeight="1" x14ac:dyDescent="0.15">
      <c r="A2" s="112" t="s">
        <v>15</v>
      </c>
      <c r="B2" s="84"/>
      <c r="C2" s="84"/>
      <c r="D2" s="84"/>
      <c r="E2" s="84"/>
      <c r="F2" s="84"/>
    </row>
    <row r="3" spans="1:8" ht="30" customHeight="1" x14ac:dyDescent="0.15">
      <c r="A3" s="91" t="s">
        <v>16</v>
      </c>
      <c r="B3" s="84"/>
      <c r="C3" s="84"/>
      <c r="D3" s="84"/>
      <c r="E3" s="84"/>
      <c r="F3" s="84"/>
    </row>
    <row r="4" spans="1:8" ht="30" customHeight="1" x14ac:dyDescent="0.15">
      <c r="A4" s="118" t="s">
        <v>17</v>
      </c>
      <c r="B4" s="84"/>
      <c r="C4" s="84"/>
      <c r="D4" s="84"/>
      <c r="E4" s="84"/>
      <c r="F4" s="84"/>
    </row>
    <row r="5" spans="1:8" ht="60" customHeight="1" x14ac:dyDescent="0.15">
      <c r="A5" s="100" t="str">
        <f>IF(AND($G$5=0,$H$5=0),"✓ 全部入りました！いちばん下で金額を確かめて、印刷しましょう",IF($G$5&gt;0,"あと "&amp;$G$5&amp;" 問です。","")&amp;IF($H$5&gt;0,"直してほしい所が "&amp;$H$5&amp;" か所あります（オレンジ色・「要確認」）",IF($G$5&gt;0,"（オレンジ色の所を入れてください）","")))</f>
        <v>あと 7 問です。（オレンジ色の所を入れてください）</v>
      </c>
      <c r="B5" s="84"/>
      <c r="C5" s="84"/>
      <c r="D5" s="84"/>
      <c r="E5" s="84"/>
      <c r="F5" s="84"/>
      <c r="G5" s="3">
        <f>IF($C$9="",1,0)+IF($C$19="",1,0)+IF($C$22="",1,0)+IF($C$25="",1,0)+IF($C$26="",1,0)+IF(AND($F$42=0,$F$63=0),1,0)+IF(OR($C$68="",AND($C$68="はい",$C$70=""),AND($C$68="いいえ",$C$72="")),1,0)+IF(OR($C$78="",AND($C$78="はい",$C$79="")),1,0)+IF(NOT(ISNUMBER($C$113)),1,0)</f>
        <v>7</v>
      </c>
      <c r="H5" s="3">
        <f>(IF(AND(ISNUMBER($C$25),ISNUMBER($C$26)),IF($C$26&lt;$C$25,1,0),0))+(IF(AND($C$25&lt;&gt;"",NOT(ISNUMBER($C$25))),1,0))+(IF(AND($C$26&lt;&gt;"",NOT(ISNUMBER($C$26))),1,0))+(COUNTIF(F32:F41,"要確認"))+(COUNTIF(F46:F53,"要確認"))+(COUNTIF(F56:F60,"要確認"))+(IF(AND($C$68="いいえ",OR(NOT(ISNUMBER($C$74)),N($C$74)&lt;=0)),1,0))+(IF($C$68="いいえ",IF(AND($C$72&lt;&gt;"",NOT(ISNUMBER($C$72))),1,0)+IF(AND($C$73&lt;&gt;"",NOT(ISNUMBER($C$73))),1,0)+IF(AND($C$75&lt;&gt;"",NOT(ISNUMBER($C$75))),1,0),0))+(COUNTIF(F86:F95,"要確認"))+(COUNTA(F100:F104)-COUNT(F100:F104)+COUNTIF(F100:F104,"&lt;0"))+(IF(AND(N($C$105)&gt;0,N($C$106)&gt;0),1,0))+(IF(AND($C$105&lt;&gt;"",NOT(ISNUMBER($C$105))),1,0)+IF(AND($C$106&lt;&gt;"",NOT(ISNUMBER($C$106))),1,0))+COUNTIF(事務所用①くわしい設定!$H$32:$H$51,"要確認")</f>
        <v>0</v>
      </c>
    </row>
    <row r="6" spans="1:8" ht="12" customHeight="1" x14ac:dyDescent="0.15"/>
    <row r="7" spans="1:8" ht="33.950000000000003" customHeight="1" x14ac:dyDescent="0.15">
      <c r="A7" s="88" t="s">
        <v>18</v>
      </c>
      <c r="B7" s="84"/>
      <c r="C7" s="84"/>
      <c r="D7" s="84"/>
      <c r="E7" s="84"/>
      <c r="F7" s="84"/>
    </row>
    <row r="8" spans="1:8" ht="39.950000000000003" customHeight="1" x14ac:dyDescent="0.15">
      <c r="A8" s="4">
        <v>1</v>
      </c>
      <c r="B8" s="97" t="s">
        <v>19</v>
      </c>
      <c r="C8" s="84"/>
      <c r="D8" s="84"/>
      <c r="E8" s="84"/>
      <c r="F8" s="84"/>
    </row>
    <row r="9" spans="1:8" ht="36" customHeight="1" x14ac:dyDescent="0.15">
      <c r="A9" s="5" t="str">
        <f>IF($C$9&lt;&gt;"","✓済","")</f>
        <v/>
      </c>
      <c r="B9" s="6" t="s">
        <v>20</v>
      </c>
      <c r="C9" s="99"/>
      <c r="D9" s="95"/>
      <c r="E9" s="95"/>
      <c r="F9" s="8" t="s">
        <v>21</v>
      </c>
    </row>
    <row r="10" spans="1:8" ht="36" customHeight="1" x14ac:dyDescent="0.15">
      <c r="B10" s="6" t="s">
        <v>22</v>
      </c>
      <c r="C10" s="99"/>
      <c r="D10" s="95"/>
      <c r="E10" s="95"/>
      <c r="F10" s="8" t="s">
        <v>23</v>
      </c>
    </row>
    <row r="11" spans="1:8" ht="36" customHeight="1" x14ac:dyDescent="0.15">
      <c r="B11" s="6" t="s">
        <v>24</v>
      </c>
      <c r="C11" s="99"/>
      <c r="D11" s="95"/>
      <c r="E11" s="95"/>
      <c r="F11" s="8" t="s">
        <v>25</v>
      </c>
    </row>
    <row r="12" spans="1:8" ht="36" customHeight="1" x14ac:dyDescent="0.15">
      <c r="B12" s="6" t="s">
        <v>26</v>
      </c>
      <c r="C12" s="99"/>
      <c r="D12" s="95"/>
      <c r="E12" s="95"/>
      <c r="F12" s="8" t="s">
        <v>27</v>
      </c>
    </row>
    <row r="13" spans="1:8" ht="36" customHeight="1" x14ac:dyDescent="0.15">
      <c r="B13" s="6" t="s">
        <v>28</v>
      </c>
      <c r="C13" s="99"/>
      <c r="D13" s="95"/>
      <c r="E13" s="95"/>
      <c r="F13" s="8" t="s">
        <v>27</v>
      </c>
    </row>
    <row r="14" spans="1:8" ht="36" customHeight="1" x14ac:dyDescent="0.15">
      <c r="B14" s="6" t="s">
        <v>29</v>
      </c>
      <c r="C14" s="109"/>
      <c r="D14" s="95"/>
      <c r="E14" s="95"/>
      <c r="F14" s="8" t="s">
        <v>27</v>
      </c>
    </row>
    <row r="15" spans="1:8" ht="36" customHeight="1" x14ac:dyDescent="0.15">
      <c r="B15" s="6" t="s">
        <v>30</v>
      </c>
      <c r="C15" s="99"/>
      <c r="D15" s="95"/>
      <c r="E15" s="95"/>
      <c r="F15" s="8" t="s">
        <v>31</v>
      </c>
    </row>
    <row r="16" spans="1:8" ht="12" customHeight="1" x14ac:dyDescent="0.15"/>
    <row r="17" spans="1:6" ht="33.950000000000003" customHeight="1" x14ac:dyDescent="0.15">
      <c r="A17" s="88" t="s">
        <v>32</v>
      </c>
      <c r="B17" s="84"/>
      <c r="C17" s="84"/>
      <c r="D17" s="84"/>
      <c r="E17" s="84"/>
      <c r="F17" s="84"/>
    </row>
    <row r="18" spans="1:6" ht="39.950000000000003" customHeight="1" x14ac:dyDescent="0.15">
      <c r="A18" s="4">
        <v>2</v>
      </c>
      <c r="B18" s="97" t="s">
        <v>33</v>
      </c>
      <c r="C18" s="84"/>
      <c r="D18" s="84"/>
      <c r="E18" s="84"/>
      <c r="F18" s="84"/>
    </row>
    <row r="19" spans="1:6" ht="36" customHeight="1" x14ac:dyDescent="0.15">
      <c r="A19" s="5" t="str">
        <f>IF($C$19&lt;&gt;"","✓済","")</f>
        <v/>
      </c>
      <c r="B19" s="6" t="s">
        <v>34</v>
      </c>
      <c r="C19" s="99"/>
      <c r="D19" s="95"/>
      <c r="E19" s="95"/>
      <c r="F19" s="8" t="s">
        <v>35</v>
      </c>
    </row>
    <row r="20" spans="1:6" ht="36" customHeight="1" x14ac:dyDescent="0.15">
      <c r="B20" s="6" t="s">
        <v>36</v>
      </c>
      <c r="C20" s="99"/>
      <c r="D20" s="95"/>
      <c r="E20" s="95"/>
      <c r="F20" s="8" t="s">
        <v>37</v>
      </c>
    </row>
    <row r="21" spans="1:6" ht="39.950000000000003" customHeight="1" x14ac:dyDescent="0.15">
      <c r="A21" s="4">
        <v>3</v>
      </c>
      <c r="B21" s="97" t="s">
        <v>38</v>
      </c>
      <c r="C21" s="84"/>
      <c r="D21" s="84"/>
      <c r="E21" s="84"/>
      <c r="F21" s="84"/>
    </row>
    <row r="22" spans="1:6" ht="36" customHeight="1" x14ac:dyDescent="0.15">
      <c r="A22" s="5" t="str">
        <f>IF($C$22&lt;&gt;"","✓済","")</f>
        <v/>
      </c>
      <c r="B22" s="6" t="s">
        <v>39</v>
      </c>
      <c r="C22" s="99"/>
      <c r="D22" s="95"/>
      <c r="E22" s="95"/>
      <c r="F22" s="8" t="s">
        <v>40</v>
      </c>
    </row>
    <row r="23" spans="1:6" ht="36" customHeight="1" x14ac:dyDescent="0.15">
      <c r="B23" s="6" t="s">
        <v>41</v>
      </c>
      <c r="C23" s="99"/>
      <c r="D23" s="95"/>
      <c r="E23" s="95"/>
      <c r="F23" s="8" t="s">
        <v>42</v>
      </c>
    </row>
    <row r="24" spans="1:6" ht="39.950000000000003" customHeight="1" x14ac:dyDescent="0.15">
      <c r="A24" s="4">
        <v>4</v>
      </c>
      <c r="B24" s="97" t="s">
        <v>43</v>
      </c>
      <c r="C24" s="84"/>
      <c r="D24" s="84"/>
      <c r="E24" s="84"/>
      <c r="F24" s="84"/>
    </row>
    <row r="25" spans="1:6" ht="36" customHeight="1" x14ac:dyDescent="0.15">
      <c r="A25" s="5" t="str">
        <f>IF(AND(ISNUMBER($C$25),ISNUMBER($C$26),$C$26&gt;=$C$25),"✓済","")</f>
        <v/>
      </c>
      <c r="B25" s="6" t="s">
        <v>44</v>
      </c>
      <c r="C25" s="109"/>
      <c r="D25" s="95"/>
      <c r="E25" s="95"/>
      <c r="F25" s="8" t="s">
        <v>45</v>
      </c>
    </row>
    <row r="26" spans="1:6" ht="36" customHeight="1" x14ac:dyDescent="0.15">
      <c r="B26" s="6" t="s">
        <v>46</v>
      </c>
      <c r="C26" s="109"/>
      <c r="D26" s="95"/>
      <c r="E26" s="95"/>
      <c r="F26" s="8" t="s">
        <v>47</v>
      </c>
    </row>
    <row r="27" spans="1:6" ht="12" customHeight="1" x14ac:dyDescent="0.15"/>
    <row r="28" spans="1:6" ht="33.950000000000003" customHeight="1" x14ac:dyDescent="0.15">
      <c r="A28" s="88" t="s">
        <v>48</v>
      </c>
      <c r="B28" s="84"/>
      <c r="C28" s="84"/>
      <c r="D28" s="84"/>
      <c r="E28" s="84"/>
      <c r="F28" s="84"/>
    </row>
    <row r="29" spans="1:6" ht="39.950000000000003" customHeight="1" x14ac:dyDescent="0.15">
      <c r="A29" s="4">
        <v>5</v>
      </c>
      <c r="B29" s="97" t="s">
        <v>49</v>
      </c>
      <c r="C29" s="84"/>
      <c r="D29" s="84"/>
      <c r="E29" s="84"/>
      <c r="F29" s="84"/>
    </row>
    <row r="30" spans="1:6" ht="57.95" customHeight="1" x14ac:dyDescent="0.4">
      <c r="A30" s="9" t="str">
        <f>IF(F42&gt;0,"✓済","")</f>
        <v/>
      </c>
      <c r="B30" s="96" t="s">
        <v>50</v>
      </c>
      <c r="C30" s="84"/>
      <c r="D30" s="84"/>
      <c r="E30" s="84"/>
      <c r="F30" s="84"/>
    </row>
    <row r="31" spans="1:6" ht="33.950000000000003" customHeight="1" x14ac:dyDescent="0.15">
      <c r="B31" s="10" t="s">
        <v>51</v>
      </c>
      <c r="C31" s="10" t="s">
        <v>52</v>
      </c>
      <c r="D31" s="92" t="s">
        <v>53</v>
      </c>
      <c r="E31" s="93"/>
      <c r="F31" s="10" t="s">
        <v>54</v>
      </c>
    </row>
    <row r="32" spans="1:6" ht="32.1" customHeight="1" x14ac:dyDescent="0.15">
      <c r="A32" s="11">
        <v>1</v>
      </c>
      <c r="B32" s="7"/>
      <c r="C32" s="12"/>
      <c r="D32" s="94"/>
      <c r="E32" s="95"/>
      <c r="F32" s="14" t="str">
        <f t="shared" ref="F32:F41" si="0">IF(COUNTA(B32:D32)=0,"",IF(AND(B32&lt;&gt;"",ISNUMBER(C32),ISNUMBER(D32)),IF(AND(C32&gt;=0,D32&gt;=0),C32*D32,"要確認"),"要確認"))</f>
        <v/>
      </c>
    </row>
    <row r="33" spans="1:7" ht="32.1" customHeight="1" x14ac:dyDescent="0.15">
      <c r="A33" s="11">
        <v>2</v>
      </c>
      <c r="B33" s="7"/>
      <c r="C33" s="12"/>
      <c r="D33" s="94"/>
      <c r="E33" s="95"/>
      <c r="F33" s="14" t="str">
        <f t="shared" si="0"/>
        <v/>
      </c>
    </row>
    <row r="34" spans="1:7" ht="32.1" customHeight="1" x14ac:dyDescent="0.15">
      <c r="A34" s="11">
        <v>3</v>
      </c>
      <c r="B34" s="7"/>
      <c r="C34" s="12"/>
      <c r="D34" s="94"/>
      <c r="E34" s="95"/>
      <c r="F34" s="14" t="str">
        <f t="shared" si="0"/>
        <v/>
      </c>
    </row>
    <row r="35" spans="1:7" ht="32.1" customHeight="1" x14ac:dyDescent="0.15">
      <c r="A35" s="11">
        <v>4</v>
      </c>
      <c r="B35" s="7"/>
      <c r="C35" s="12"/>
      <c r="D35" s="94"/>
      <c r="E35" s="95"/>
      <c r="F35" s="14" t="str">
        <f t="shared" si="0"/>
        <v/>
      </c>
    </row>
    <row r="36" spans="1:7" ht="32.1" customHeight="1" x14ac:dyDescent="0.15">
      <c r="A36" s="11">
        <v>5</v>
      </c>
      <c r="B36" s="7"/>
      <c r="C36" s="12"/>
      <c r="D36" s="94"/>
      <c r="E36" s="95"/>
      <c r="F36" s="14" t="str">
        <f t="shared" si="0"/>
        <v/>
      </c>
    </row>
    <row r="37" spans="1:7" ht="32.1" customHeight="1" x14ac:dyDescent="0.15">
      <c r="A37" s="11">
        <v>6</v>
      </c>
      <c r="B37" s="7"/>
      <c r="C37" s="12"/>
      <c r="D37" s="94"/>
      <c r="E37" s="95"/>
      <c r="F37" s="14" t="str">
        <f t="shared" si="0"/>
        <v/>
      </c>
    </row>
    <row r="38" spans="1:7" ht="32.1" customHeight="1" x14ac:dyDescent="0.15">
      <c r="A38" s="11">
        <v>7</v>
      </c>
      <c r="B38" s="7"/>
      <c r="C38" s="12"/>
      <c r="D38" s="94"/>
      <c r="E38" s="95"/>
      <c r="F38" s="14" t="str">
        <f t="shared" si="0"/>
        <v/>
      </c>
    </row>
    <row r="39" spans="1:7" ht="32.1" customHeight="1" x14ac:dyDescent="0.15">
      <c r="A39" s="11">
        <v>8</v>
      </c>
      <c r="B39" s="7"/>
      <c r="C39" s="12"/>
      <c r="D39" s="94"/>
      <c r="E39" s="95"/>
      <c r="F39" s="14" t="str">
        <f t="shared" si="0"/>
        <v/>
      </c>
    </row>
    <row r="40" spans="1:7" ht="32.1" customHeight="1" x14ac:dyDescent="0.15">
      <c r="A40" s="11">
        <v>9</v>
      </c>
      <c r="B40" s="7"/>
      <c r="C40" s="12"/>
      <c r="D40" s="94"/>
      <c r="E40" s="95"/>
      <c r="F40" s="14" t="str">
        <f t="shared" si="0"/>
        <v/>
      </c>
    </row>
    <row r="41" spans="1:7" ht="32.1" customHeight="1" x14ac:dyDescent="0.15">
      <c r="A41" s="11">
        <v>10</v>
      </c>
      <c r="B41" s="7"/>
      <c r="C41" s="12"/>
      <c r="D41" s="94"/>
      <c r="E41" s="95"/>
      <c r="F41" s="14" t="str">
        <f t="shared" si="0"/>
        <v/>
      </c>
    </row>
    <row r="42" spans="1:7" ht="33.950000000000003" customHeight="1" x14ac:dyDescent="0.15">
      <c r="B42" s="101" t="s">
        <v>55</v>
      </c>
      <c r="C42" s="93"/>
      <c r="D42" s="93"/>
      <c r="E42" s="93"/>
      <c r="F42" s="15">
        <f>SUM(F32:F41)</f>
        <v>0</v>
      </c>
    </row>
    <row r="43" spans="1:7" ht="39.950000000000003" customHeight="1" x14ac:dyDescent="0.15">
      <c r="A43" s="4">
        <v>6</v>
      </c>
      <c r="B43" s="97" t="s">
        <v>56</v>
      </c>
      <c r="C43" s="84"/>
      <c r="D43" s="84"/>
      <c r="E43" s="84"/>
      <c r="F43" s="84"/>
    </row>
    <row r="44" spans="1:7" ht="86.1" customHeight="1" x14ac:dyDescent="0.4">
      <c r="A44" s="9" t="str">
        <f>IF(F63&gt;0,"✓済","")</f>
        <v/>
      </c>
      <c r="B44" s="96" t="s">
        <v>57</v>
      </c>
      <c r="C44" s="84"/>
      <c r="D44" s="84"/>
      <c r="E44" s="84"/>
      <c r="F44" s="84"/>
    </row>
    <row r="45" spans="1:7" ht="48" customHeight="1" x14ac:dyDescent="0.15">
      <c r="B45" s="10" t="s">
        <v>58</v>
      </c>
      <c r="C45" s="10" t="s">
        <v>59</v>
      </c>
      <c r="D45" s="10" t="s">
        <v>60</v>
      </c>
      <c r="E45" s="16" t="s">
        <v>61</v>
      </c>
      <c r="F45" s="10" t="s">
        <v>62</v>
      </c>
      <c r="G45" s="16" t="s">
        <v>63</v>
      </c>
    </row>
    <row r="46" spans="1:7" ht="32.1" customHeight="1" x14ac:dyDescent="0.15">
      <c r="A46" s="11">
        <v>1</v>
      </c>
      <c r="B46" s="7"/>
      <c r="C46" s="17"/>
      <c r="D46" s="17"/>
      <c r="E46" s="14" t="str">
        <f t="shared" ref="E46:E53" si="1">IF(B46="","",IFERROR(INDEX(日当表C,MATCH(B46,日当表F,0)),IFERROR(INDEX(日当表C,MATCH(B46,正式職種,0)),0)))</f>
        <v/>
      </c>
      <c r="F46" s="14" t="str">
        <f t="shared" ref="F46:F53" si="2">IF(COUNTA(B46:D46,G46)=0,"",IF(AND(B46&lt;&gt;"",ISNUMBER(C46),ISNUMBER(D46)),IF(AND(C46&gt;0,D46&gt;0,IF(G46="",N(E46),IF(ISNUMBER(G46),G46,0))&gt;0),C46*D46*IF(G46="",N(E46),IF(ISNUMBER(G46),G46,0)),"要確認"),"要確認"))</f>
        <v/>
      </c>
      <c r="G46" s="13"/>
    </row>
    <row r="47" spans="1:7" ht="32.1" customHeight="1" x14ac:dyDescent="0.15">
      <c r="A47" s="11">
        <v>2</v>
      </c>
      <c r="B47" s="7"/>
      <c r="C47" s="17"/>
      <c r="D47" s="17"/>
      <c r="E47" s="14" t="str">
        <f t="shared" si="1"/>
        <v/>
      </c>
      <c r="F47" s="14" t="str">
        <f t="shared" si="2"/>
        <v/>
      </c>
      <c r="G47" s="13"/>
    </row>
    <row r="48" spans="1:7" ht="32.1" customHeight="1" x14ac:dyDescent="0.15">
      <c r="A48" s="11">
        <v>3</v>
      </c>
      <c r="B48" s="7"/>
      <c r="C48" s="17"/>
      <c r="D48" s="17"/>
      <c r="E48" s="14" t="str">
        <f t="shared" si="1"/>
        <v/>
      </c>
      <c r="F48" s="14" t="str">
        <f t="shared" si="2"/>
        <v/>
      </c>
      <c r="G48" s="13"/>
    </row>
    <row r="49" spans="1:10" ht="32.1" customHeight="1" x14ac:dyDescent="0.15">
      <c r="A49" s="11">
        <v>4</v>
      </c>
      <c r="B49" s="7"/>
      <c r="C49" s="17"/>
      <c r="D49" s="17"/>
      <c r="E49" s="14" t="str">
        <f t="shared" si="1"/>
        <v/>
      </c>
      <c r="F49" s="14" t="str">
        <f t="shared" si="2"/>
        <v/>
      </c>
      <c r="G49" s="13"/>
    </row>
    <row r="50" spans="1:10" ht="32.1" customHeight="1" x14ac:dyDescent="0.15">
      <c r="A50" s="11">
        <v>5</v>
      </c>
      <c r="B50" s="7"/>
      <c r="C50" s="17"/>
      <c r="D50" s="17"/>
      <c r="E50" s="14" t="str">
        <f t="shared" si="1"/>
        <v/>
      </c>
      <c r="F50" s="14" t="str">
        <f t="shared" si="2"/>
        <v/>
      </c>
      <c r="G50" s="13"/>
    </row>
    <row r="51" spans="1:10" ht="32.1" customHeight="1" x14ac:dyDescent="0.15">
      <c r="A51" s="11">
        <v>6</v>
      </c>
      <c r="B51" s="7"/>
      <c r="C51" s="17"/>
      <c r="D51" s="17"/>
      <c r="E51" s="14" t="str">
        <f t="shared" si="1"/>
        <v/>
      </c>
      <c r="F51" s="14" t="str">
        <f t="shared" si="2"/>
        <v/>
      </c>
      <c r="G51" s="13"/>
    </row>
    <row r="52" spans="1:10" ht="32.1" customHeight="1" x14ac:dyDescent="0.15">
      <c r="A52" s="11">
        <v>7</v>
      </c>
      <c r="B52" s="7"/>
      <c r="C52" s="17"/>
      <c r="D52" s="17"/>
      <c r="E52" s="14" t="str">
        <f t="shared" si="1"/>
        <v/>
      </c>
      <c r="F52" s="14" t="str">
        <f t="shared" si="2"/>
        <v/>
      </c>
      <c r="G52" s="13"/>
    </row>
    <row r="53" spans="1:10" ht="32.1" customHeight="1" x14ac:dyDescent="0.15">
      <c r="A53" s="11">
        <v>8</v>
      </c>
      <c r="B53" s="7"/>
      <c r="C53" s="17"/>
      <c r="D53" s="17"/>
      <c r="E53" s="14" t="str">
        <f t="shared" si="1"/>
        <v/>
      </c>
      <c r="F53" s="14" t="str">
        <f t="shared" si="2"/>
        <v/>
      </c>
      <c r="G53" s="13"/>
    </row>
    <row r="54" spans="1:10" ht="36" customHeight="1" x14ac:dyDescent="0.15">
      <c r="B54" s="90" t="s">
        <v>64</v>
      </c>
      <c r="C54" s="84"/>
      <c r="D54" s="84"/>
      <c r="E54" s="84"/>
      <c r="F54" s="84"/>
    </row>
    <row r="55" spans="1:10" ht="48" customHeight="1" x14ac:dyDescent="0.15">
      <c r="B55" s="10" t="s">
        <v>58</v>
      </c>
      <c r="C55" s="10" t="s">
        <v>65</v>
      </c>
      <c r="D55" s="10" t="s">
        <v>66</v>
      </c>
      <c r="E55" s="16" t="s">
        <v>67</v>
      </c>
      <c r="F55" s="10" t="s">
        <v>62</v>
      </c>
      <c r="G55" s="18" t="s">
        <v>61</v>
      </c>
      <c r="H55" s="18" t="s">
        <v>63</v>
      </c>
      <c r="I55" s="18" t="s">
        <v>68</v>
      </c>
      <c r="J55" s="18" t="s">
        <v>69</v>
      </c>
    </row>
    <row r="56" spans="1:10" ht="32.1" customHeight="1" x14ac:dyDescent="0.15">
      <c r="A56" s="11">
        <v>1</v>
      </c>
      <c r="B56" s="7"/>
      <c r="C56" s="12"/>
      <c r="D56" s="19"/>
      <c r="E56" s="12"/>
      <c r="F56" s="14" t="str">
        <f>IF(COUNTA(B56:C56,E56,H56)=0,"",IF(AND(B56&lt;&gt;"",ISNUMBER(I56),IF(H56="",N(G56),IF(ISNUMBER(H56),H56,0))&gt;0),I56*IF(H56="",N(G56),IF(ISNUMBER(H56),H56,0)),"要確認"))</f>
        <v/>
      </c>
      <c r="G56" s="20" t="str">
        <f>IF(B56="","",IFERROR(INDEX(日当表C,MATCH(B56,日当表F,0)),IFERROR(INDEX(日当表C,MATCH(B56,正式職種,0)),0)))</f>
        <v/>
      </c>
      <c r="H56" s="21"/>
      <c r="I56" s="22" t="str">
        <f>IF(AND(ISNUMBER(C56),ISNUMBER(E56)),IF(AND(C56&gt;0,E56&gt;0),C56/E56,""),"")</f>
        <v/>
      </c>
      <c r="J56" s="23" t="str">
        <f>IF(ISNUMBER(F56),IF(H56="",N(G56),IF(ISNUMBER(H56),H56,0))/E56,"")</f>
        <v/>
      </c>
    </row>
    <row r="57" spans="1:10" ht="32.1" customHeight="1" x14ac:dyDescent="0.15">
      <c r="A57" s="11">
        <v>2</v>
      </c>
      <c r="B57" s="7"/>
      <c r="C57" s="12"/>
      <c r="D57" s="19"/>
      <c r="E57" s="12"/>
      <c r="F57" s="14" t="str">
        <f>IF(COUNTA(B57:C57,E57,H57)=0,"",IF(AND(B57&lt;&gt;"",ISNUMBER(I57),IF(H57="",N(G57),IF(ISNUMBER(H57),H57,0))&gt;0),I57*IF(H57="",N(G57),IF(ISNUMBER(H57),H57,0)),"要確認"))</f>
        <v/>
      </c>
      <c r="G57" s="20" t="str">
        <f>IF(B57="","",IFERROR(INDEX(日当表C,MATCH(B57,日当表F,0)),IFERROR(INDEX(日当表C,MATCH(B57,正式職種,0)),0)))</f>
        <v/>
      </c>
      <c r="H57" s="21"/>
      <c r="I57" s="22" t="str">
        <f>IF(AND(ISNUMBER(C57),ISNUMBER(E57)),IF(AND(C57&gt;0,E57&gt;0),C57/E57,""),"")</f>
        <v/>
      </c>
      <c r="J57" s="23" t="str">
        <f>IF(ISNUMBER(F57),IF(H57="",N(G57),IF(ISNUMBER(H57),H57,0))/E57,"")</f>
        <v/>
      </c>
    </row>
    <row r="58" spans="1:10" ht="32.1" customHeight="1" x14ac:dyDescent="0.15">
      <c r="A58" s="11">
        <v>3</v>
      </c>
      <c r="B58" s="7"/>
      <c r="C58" s="12"/>
      <c r="D58" s="19"/>
      <c r="E58" s="12"/>
      <c r="F58" s="14" t="str">
        <f>IF(COUNTA(B58:C58,E58,H58)=0,"",IF(AND(B58&lt;&gt;"",ISNUMBER(I58),IF(H58="",N(G58),IF(ISNUMBER(H58),H58,0))&gt;0),I58*IF(H58="",N(G58),IF(ISNUMBER(H58),H58,0)),"要確認"))</f>
        <v/>
      </c>
      <c r="G58" s="20" t="str">
        <f>IF(B58="","",IFERROR(INDEX(日当表C,MATCH(B58,日当表F,0)),IFERROR(INDEX(日当表C,MATCH(B58,正式職種,0)),0)))</f>
        <v/>
      </c>
      <c r="H58" s="21"/>
      <c r="I58" s="22" t="str">
        <f>IF(AND(ISNUMBER(C58),ISNUMBER(E58)),IF(AND(C58&gt;0,E58&gt;0),C58/E58,""),"")</f>
        <v/>
      </c>
      <c r="J58" s="23" t="str">
        <f>IF(ISNUMBER(F58),IF(H58="",N(G58),IF(ISNUMBER(H58),H58,0))/E58,"")</f>
        <v/>
      </c>
    </row>
    <row r="59" spans="1:10" ht="32.1" customHeight="1" x14ac:dyDescent="0.15">
      <c r="A59" s="11">
        <v>4</v>
      </c>
      <c r="B59" s="7"/>
      <c r="C59" s="12"/>
      <c r="D59" s="19"/>
      <c r="E59" s="12"/>
      <c r="F59" s="14" t="str">
        <f>IF(COUNTA(B59:C59,E59,H59)=0,"",IF(AND(B59&lt;&gt;"",ISNUMBER(I59),IF(H59="",N(G59),IF(ISNUMBER(H59),H59,0))&gt;0),I59*IF(H59="",N(G59),IF(ISNUMBER(H59),H59,0)),"要確認"))</f>
        <v/>
      </c>
      <c r="G59" s="20" t="str">
        <f>IF(B59="","",IFERROR(INDEX(日当表C,MATCH(B59,日当表F,0)),IFERROR(INDEX(日当表C,MATCH(B59,正式職種,0)),0)))</f>
        <v/>
      </c>
      <c r="H59" s="21"/>
      <c r="I59" s="22" t="str">
        <f>IF(AND(ISNUMBER(C59),ISNUMBER(E59)),IF(AND(C59&gt;0,E59&gt;0),C59/E59,""),"")</f>
        <v/>
      </c>
      <c r="J59" s="23" t="str">
        <f>IF(ISNUMBER(F59),IF(H59="",N(G59),IF(ISNUMBER(H59),H59,0))/E59,"")</f>
        <v/>
      </c>
    </row>
    <row r="60" spans="1:10" ht="32.1" customHeight="1" x14ac:dyDescent="0.15">
      <c r="A60" s="11">
        <v>5</v>
      </c>
      <c r="B60" s="7"/>
      <c r="C60" s="12"/>
      <c r="D60" s="19"/>
      <c r="E60" s="12"/>
      <c r="F60" s="14" t="str">
        <f>IF(COUNTA(B60:C60,E60,H60)=0,"",IF(AND(B60&lt;&gt;"",ISNUMBER(I60),IF(H60="",N(G60),IF(ISNUMBER(H60),H60,0))&gt;0),I60*IF(H60="",N(G60),IF(ISNUMBER(H60),H60,0)),"要確認"))</f>
        <v/>
      </c>
      <c r="G60" s="20" t="str">
        <f>IF(B60="","",IFERROR(INDEX(日当表C,MATCH(B60,日当表F,0)),IFERROR(INDEX(日当表C,MATCH(B60,正式職種,0)),0)))</f>
        <v/>
      </c>
      <c r="H60" s="21"/>
      <c r="I60" s="22" t="str">
        <f>IF(AND(ISNUMBER(C60),ISNUMBER(E60)),IF(AND(C60&gt;0,E60&gt;0),C60/E60,""),"")</f>
        <v/>
      </c>
      <c r="J60" s="23" t="str">
        <f>IF(ISNUMBER(F60),IF(H60="",N(G60),IF(ISNUMBER(H60),H60,0))/E60,"")</f>
        <v/>
      </c>
    </row>
    <row r="61" spans="1:10" ht="39.950000000000003" customHeight="1" x14ac:dyDescent="0.15">
      <c r="B61" s="114" t="s">
        <v>70</v>
      </c>
      <c r="C61" s="84"/>
      <c r="D61" s="84"/>
      <c r="E61" s="84"/>
      <c r="F61" s="84"/>
    </row>
    <row r="62" spans="1:10" ht="33.950000000000003" customHeight="1" x14ac:dyDescent="0.15">
      <c r="B62" s="115" t="s">
        <v>71</v>
      </c>
      <c r="C62" s="93"/>
      <c r="D62" s="93"/>
      <c r="E62" s="93"/>
      <c r="F62" s="24">
        <f>SUMPRODUCT(--ISNUMBER(F46:F53),C46:C53,D46:D53)+SUMPRODUCT(--ISNUMBER(F56:F60),I56:I60)+事務所用①くわしい設定!$I$52</f>
        <v>0</v>
      </c>
    </row>
    <row r="63" spans="1:10" ht="33.950000000000003" customHeight="1" x14ac:dyDescent="0.15">
      <c r="B63" s="101" t="s">
        <v>72</v>
      </c>
      <c r="C63" s="93"/>
      <c r="D63" s="93"/>
      <c r="E63" s="93"/>
      <c r="F63" s="15">
        <f>SUM(F46:F53)+SUM(F56:F60)+事務所用①くわしい設定!$H$52</f>
        <v>0</v>
      </c>
    </row>
    <row r="64" spans="1:10" ht="50.1" customHeight="1" x14ac:dyDescent="0.15">
      <c r="B64" s="114" t="s">
        <v>73</v>
      </c>
      <c r="C64" s="84"/>
      <c r="D64" s="84"/>
      <c r="E64" s="84"/>
      <c r="F64" s="84"/>
    </row>
    <row r="65" spans="1:6" ht="12" customHeight="1" x14ac:dyDescent="0.15"/>
    <row r="66" spans="1:6" ht="33.950000000000003" customHeight="1" x14ac:dyDescent="0.15">
      <c r="A66" s="88" t="s">
        <v>74</v>
      </c>
      <c r="B66" s="84"/>
      <c r="C66" s="84"/>
      <c r="D66" s="84"/>
      <c r="E66" s="84"/>
      <c r="F66" s="84"/>
    </row>
    <row r="67" spans="1:6" ht="57.95" customHeight="1" x14ac:dyDescent="0.15">
      <c r="A67" s="4">
        <v>7</v>
      </c>
      <c r="B67" s="97" t="s">
        <v>75</v>
      </c>
      <c r="C67" s="84"/>
      <c r="D67" s="84"/>
      <c r="E67" s="84"/>
      <c r="F67" s="84"/>
    </row>
    <row r="68" spans="1:6" ht="36" customHeight="1" x14ac:dyDescent="0.15">
      <c r="A68" s="5" t="str">
        <f>IF(OR(AND($C$68="はい",$C$70&lt;&gt;""),AND($C$68="いいえ",$C$72&lt;&gt;"")),"✓済","")</f>
        <v>✓済</v>
      </c>
      <c r="B68" s="6" t="s">
        <v>76</v>
      </c>
      <c r="C68" s="113" t="s">
        <v>77</v>
      </c>
      <c r="D68" s="95"/>
      <c r="E68" s="95"/>
      <c r="F68" s="8"/>
    </row>
    <row r="69" spans="1:6" ht="32.1" customHeight="1" x14ac:dyDescent="0.15">
      <c r="B69" s="90" t="s">
        <v>78</v>
      </c>
      <c r="C69" s="84"/>
      <c r="D69" s="84"/>
      <c r="E69" s="84"/>
      <c r="F69" s="84"/>
    </row>
    <row r="70" spans="1:6" ht="56.1" customHeight="1" x14ac:dyDescent="0.15">
      <c r="B70" s="25" t="s">
        <v>79</v>
      </c>
      <c r="C70" s="113" t="s">
        <v>77</v>
      </c>
      <c r="D70" s="95"/>
      <c r="E70" s="95"/>
      <c r="F70" s="8" t="s">
        <v>80</v>
      </c>
    </row>
    <row r="71" spans="1:6" ht="44.1" customHeight="1" x14ac:dyDescent="0.15">
      <c r="B71" s="90" t="s">
        <v>81</v>
      </c>
      <c r="C71" s="84"/>
      <c r="D71" s="84"/>
      <c r="E71" s="84"/>
      <c r="F71" s="84"/>
    </row>
    <row r="72" spans="1:6" ht="44.1" customHeight="1" x14ac:dyDescent="0.15">
      <c r="B72" s="26" t="s">
        <v>82</v>
      </c>
      <c r="C72" s="108"/>
      <c r="D72" s="95"/>
      <c r="E72" s="95"/>
      <c r="F72" s="8" t="s">
        <v>83</v>
      </c>
    </row>
    <row r="73" spans="1:6" ht="44.1" customHeight="1" x14ac:dyDescent="0.15">
      <c r="B73" s="26" t="s">
        <v>84</v>
      </c>
      <c r="C73" s="108"/>
      <c r="D73" s="95"/>
      <c r="E73" s="95"/>
      <c r="F73" s="8" t="s">
        <v>85</v>
      </c>
    </row>
    <row r="74" spans="1:6" ht="44.1" customHeight="1" x14ac:dyDescent="0.15">
      <c r="B74" s="26" t="s">
        <v>86</v>
      </c>
      <c r="C74" s="108">
        <v>21</v>
      </c>
      <c r="D74" s="95"/>
      <c r="E74" s="95"/>
      <c r="F74" s="8" t="s">
        <v>87</v>
      </c>
    </row>
    <row r="75" spans="1:6" ht="44.1" customHeight="1" x14ac:dyDescent="0.15">
      <c r="B75" s="26" t="s">
        <v>88</v>
      </c>
      <c r="C75" s="108"/>
      <c r="D75" s="95"/>
      <c r="E75" s="95"/>
      <c r="F75" s="8" t="s">
        <v>89</v>
      </c>
    </row>
    <row r="76" spans="1:6" ht="33.950000000000003" customHeight="1" x14ac:dyDescent="0.15">
      <c r="B76" s="98" t="s">
        <v>90</v>
      </c>
      <c r="C76" s="93"/>
      <c r="D76" s="93"/>
      <c r="E76" s="93"/>
      <c r="F76" s="14">
        <f>事務所用①くわしい設定!$B$70</f>
        <v>0</v>
      </c>
    </row>
    <row r="77" spans="1:6" ht="45.95" customHeight="1" x14ac:dyDescent="0.15">
      <c r="A77" s="4">
        <v>8</v>
      </c>
      <c r="B77" s="97" t="s">
        <v>91</v>
      </c>
      <c r="C77" s="84"/>
      <c r="D77" s="84"/>
      <c r="E77" s="84"/>
      <c r="F77" s="84"/>
    </row>
    <row r="78" spans="1:6" ht="36" customHeight="1" x14ac:dyDescent="0.15">
      <c r="A78" s="5" t="str">
        <f>IF(OR($C$78="いいえ",AND($C$78="はい",$C$79&lt;&gt;"")),"✓済","")</f>
        <v>✓済</v>
      </c>
      <c r="B78" s="6" t="s">
        <v>92</v>
      </c>
      <c r="C78" s="113" t="s">
        <v>77</v>
      </c>
      <c r="D78" s="95"/>
      <c r="E78" s="95"/>
      <c r="F78" s="8"/>
    </row>
    <row r="79" spans="1:6" ht="50.1" customHeight="1" x14ac:dyDescent="0.15">
      <c r="B79" s="26" t="s">
        <v>93</v>
      </c>
      <c r="C79" s="113" t="s">
        <v>94</v>
      </c>
      <c r="D79" s="95"/>
      <c r="E79" s="95"/>
      <c r="F79" s="8"/>
    </row>
    <row r="80" spans="1:6" ht="33.950000000000003" customHeight="1" x14ac:dyDescent="0.15">
      <c r="B80" s="115" t="s">
        <v>95</v>
      </c>
      <c r="C80" s="93"/>
      <c r="D80" s="93"/>
      <c r="E80" s="93"/>
      <c r="F80" s="14">
        <f>事務所用①くわしい設定!$B$21</f>
        <v>0</v>
      </c>
    </row>
    <row r="81" spans="1:6" ht="12" customHeight="1" x14ac:dyDescent="0.15"/>
    <row r="82" spans="1:6" ht="33.950000000000003" customHeight="1" x14ac:dyDescent="0.15">
      <c r="A82" s="88" t="s">
        <v>96</v>
      </c>
      <c r="B82" s="84"/>
      <c r="C82" s="84"/>
      <c r="D82" s="84"/>
      <c r="E82" s="84"/>
      <c r="F82" s="84"/>
    </row>
    <row r="83" spans="1:6" ht="39.950000000000003" customHeight="1" x14ac:dyDescent="0.15">
      <c r="A83" s="4">
        <v>9</v>
      </c>
      <c r="B83" s="97" t="s">
        <v>97</v>
      </c>
      <c r="C83" s="84"/>
      <c r="D83" s="84"/>
      <c r="E83" s="84"/>
      <c r="F83" s="84"/>
    </row>
    <row r="84" spans="1:6" ht="45.95" customHeight="1" x14ac:dyDescent="0.4">
      <c r="A84" s="9" t="str">
        <f>IF(COUNTIF(C86:C95,"○")&gt;0,"✓済","")</f>
        <v/>
      </c>
      <c r="B84" s="96" t="s">
        <v>98</v>
      </c>
      <c r="C84" s="84"/>
      <c r="D84" s="84"/>
      <c r="E84" s="84"/>
      <c r="F84" s="84"/>
    </row>
    <row r="85" spans="1:6" ht="48" customHeight="1" x14ac:dyDescent="0.15">
      <c r="B85" s="10" t="s">
        <v>99</v>
      </c>
      <c r="C85" s="10" t="s">
        <v>100</v>
      </c>
      <c r="D85" s="10" t="s">
        <v>52</v>
      </c>
      <c r="E85" s="10" t="s">
        <v>101</v>
      </c>
      <c r="F85" s="10" t="s">
        <v>54</v>
      </c>
    </row>
    <row r="86" spans="1:6" ht="32.1" customHeight="1" x14ac:dyDescent="0.15">
      <c r="B86" s="27" t="s">
        <v>102</v>
      </c>
      <c r="C86" s="19"/>
      <c r="D86" s="28"/>
      <c r="E86" s="29"/>
      <c r="F86" s="14" t="str">
        <f t="shared" ref="F86:F95" si="3">IF(C86&lt;&gt;"○","",IF(AND(B86&lt;&gt;"",ISNUMBER(D86),ISNUMBER(E86)),IF(AND(D86&gt;0,E86&gt;=0),D86*E86,"要確認"),"要確認"))</f>
        <v/>
      </c>
    </row>
    <row r="87" spans="1:6" ht="32.1" customHeight="1" x14ac:dyDescent="0.15">
      <c r="B87" s="27" t="s">
        <v>103</v>
      </c>
      <c r="C87" s="19"/>
      <c r="D87" s="28"/>
      <c r="E87" s="29"/>
      <c r="F87" s="14" t="str">
        <f t="shared" si="3"/>
        <v/>
      </c>
    </row>
    <row r="88" spans="1:6" ht="32.1" customHeight="1" x14ac:dyDescent="0.15">
      <c r="B88" s="27" t="s">
        <v>104</v>
      </c>
      <c r="C88" s="19"/>
      <c r="D88" s="28"/>
      <c r="E88" s="29"/>
      <c r="F88" s="14" t="str">
        <f t="shared" si="3"/>
        <v/>
      </c>
    </row>
    <row r="89" spans="1:6" ht="32.1" customHeight="1" x14ac:dyDescent="0.15">
      <c r="B89" s="27" t="s">
        <v>105</v>
      </c>
      <c r="C89" s="19"/>
      <c r="D89" s="28"/>
      <c r="E89" s="29"/>
      <c r="F89" s="14" t="str">
        <f t="shared" si="3"/>
        <v/>
      </c>
    </row>
    <row r="90" spans="1:6" ht="32.1" customHeight="1" x14ac:dyDescent="0.15">
      <c r="B90" s="27" t="s">
        <v>106</v>
      </c>
      <c r="C90" s="19"/>
      <c r="D90" s="28"/>
      <c r="E90" s="29"/>
      <c r="F90" s="14" t="str">
        <f t="shared" si="3"/>
        <v/>
      </c>
    </row>
    <row r="91" spans="1:6" ht="32.1" customHeight="1" x14ac:dyDescent="0.15">
      <c r="B91" s="27" t="s">
        <v>107</v>
      </c>
      <c r="C91" s="19"/>
      <c r="D91" s="28"/>
      <c r="E91" s="29"/>
      <c r="F91" s="14" t="str">
        <f t="shared" si="3"/>
        <v/>
      </c>
    </row>
    <row r="92" spans="1:6" ht="32.1" customHeight="1" x14ac:dyDescent="0.15">
      <c r="B92" s="27" t="s">
        <v>108</v>
      </c>
      <c r="C92" s="19"/>
      <c r="D92" s="28"/>
      <c r="E92" s="29"/>
      <c r="F92" s="14" t="str">
        <f t="shared" si="3"/>
        <v/>
      </c>
    </row>
    <row r="93" spans="1:6" ht="32.1" customHeight="1" x14ac:dyDescent="0.15">
      <c r="B93" s="27" t="s">
        <v>109</v>
      </c>
      <c r="C93" s="19"/>
      <c r="D93" s="28"/>
      <c r="E93" s="29"/>
      <c r="F93" s="14" t="str">
        <f t="shared" si="3"/>
        <v/>
      </c>
    </row>
    <row r="94" spans="1:6" ht="32.1" customHeight="1" x14ac:dyDescent="0.35">
      <c r="A94" s="30" t="s">
        <v>110</v>
      </c>
      <c r="B94" s="7"/>
      <c r="C94" s="19"/>
      <c r="D94" s="28"/>
      <c r="E94" s="29"/>
      <c r="F94" s="14" t="str">
        <f t="shared" si="3"/>
        <v/>
      </c>
    </row>
    <row r="95" spans="1:6" ht="32.1" customHeight="1" x14ac:dyDescent="0.35">
      <c r="A95" s="30" t="s">
        <v>110</v>
      </c>
      <c r="B95" s="7"/>
      <c r="C95" s="19"/>
      <c r="D95" s="28"/>
      <c r="E95" s="29"/>
      <c r="F95" s="14" t="str">
        <f t="shared" si="3"/>
        <v/>
      </c>
    </row>
    <row r="96" spans="1:6" ht="33.950000000000003" customHeight="1" x14ac:dyDescent="0.15">
      <c r="B96" s="101" t="s">
        <v>111</v>
      </c>
      <c r="C96" s="93"/>
      <c r="D96" s="93"/>
      <c r="E96" s="93"/>
      <c r="F96" s="15">
        <f>事務所用①くわしい設定!$B$28</f>
        <v>0</v>
      </c>
    </row>
    <row r="97" spans="1:7" ht="57.95" customHeight="1" x14ac:dyDescent="0.15">
      <c r="A97" s="4">
        <v>10</v>
      </c>
      <c r="B97" s="97" t="s">
        <v>112</v>
      </c>
      <c r="C97" s="84"/>
      <c r="D97" s="84"/>
      <c r="E97" s="84"/>
      <c r="F97" s="84"/>
    </row>
    <row r="98" spans="1:7" ht="30" customHeight="1" x14ac:dyDescent="0.4">
      <c r="A98" s="9" t="str">
        <f>IF(F109&gt;0,"✓済","")</f>
        <v/>
      </c>
      <c r="B98" s="96" t="s">
        <v>113</v>
      </c>
      <c r="C98" s="84"/>
      <c r="D98" s="84"/>
      <c r="E98" s="84"/>
      <c r="F98" s="84"/>
    </row>
    <row r="99" spans="1:7" ht="33.950000000000003" customHeight="1" x14ac:dyDescent="0.15">
      <c r="B99" s="10" t="s">
        <v>114</v>
      </c>
      <c r="C99" s="92" t="s">
        <v>115</v>
      </c>
      <c r="D99" s="93"/>
      <c r="E99" s="93"/>
      <c r="F99" s="10" t="s">
        <v>116</v>
      </c>
    </row>
    <row r="100" spans="1:7" ht="36" customHeight="1" x14ac:dyDescent="0.35">
      <c r="B100" s="31" t="s">
        <v>117</v>
      </c>
      <c r="C100" s="105"/>
      <c r="D100" s="95"/>
      <c r="E100" s="95"/>
      <c r="F100" s="13"/>
      <c r="G100" s="30" t="s">
        <v>118</v>
      </c>
    </row>
    <row r="101" spans="1:7" ht="36" customHeight="1" x14ac:dyDescent="0.35">
      <c r="B101" s="31" t="s">
        <v>119</v>
      </c>
      <c r="C101" s="105"/>
      <c r="D101" s="95"/>
      <c r="E101" s="95"/>
      <c r="F101" s="13"/>
      <c r="G101" s="30" t="s">
        <v>120</v>
      </c>
    </row>
    <row r="102" spans="1:7" ht="36" customHeight="1" x14ac:dyDescent="0.15">
      <c r="B102" s="31" t="s">
        <v>121</v>
      </c>
      <c r="C102" s="105"/>
      <c r="D102" s="95"/>
      <c r="E102" s="95"/>
      <c r="F102" s="13"/>
    </row>
    <row r="103" spans="1:7" ht="36" customHeight="1" x14ac:dyDescent="0.15">
      <c r="B103" s="7"/>
      <c r="C103" s="105"/>
      <c r="D103" s="95"/>
      <c r="E103" s="95"/>
      <c r="F103" s="13"/>
    </row>
    <row r="104" spans="1:7" ht="36" customHeight="1" x14ac:dyDescent="0.15">
      <c r="B104" s="7"/>
      <c r="C104" s="105"/>
      <c r="D104" s="95"/>
      <c r="E104" s="95"/>
      <c r="F104" s="13"/>
    </row>
    <row r="105" spans="1:7" ht="39.950000000000003" customHeight="1" x14ac:dyDescent="0.15">
      <c r="B105" s="31" t="s">
        <v>122</v>
      </c>
      <c r="C105" s="13"/>
      <c r="D105" s="89" t="s">
        <v>123</v>
      </c>
      <c r="E105" s="84"/>
      <c r="F105" s="14" t="str">
        <f>IF(N(C105)=0,"",C105*$F$62)</f>
        <v/>
      </c>
    </row>
    <row r="106" spans="1:7" ht="39.950000000000003" customHeight="1" x14ac:dyDescent="0.15">
      <c r="B106" s="31" t="s">
        <v>124</v>
      </c>
      <c r="C106" s="32"/>
      <c r="D106" s="89" t="s">
        <v>125</v>
      </c>
      <c r="E106" s="84"/>
      <c r="F106" s="14" t="str">
        <f>IF(N(C106)=0,"",IF(N(C105)&gt;0,"どちらか一方",ROUNDDOWN((F42+F63)*C106,0)))</f>
        <v/>
      </c>
    </row>
    <row r="107" spans="1:7" ht="44.1" customHeight="1" x14ac:dyDescent="0.15">
      <c r="B107" s="114" t="s">
        <v>126</v>
      </c>
      <c r="C107" s="84"/>
      <c r="D107" s="84"/>
      <c r="E107" s="84"/>
      <c r="F107" s="84"/>
    </row>
    <row r="108" spans="1:7" ht="33.950000000000003" customHeight="1" x14ac:dyDescent="0.15">
      <c r="B108" s="31" t="s">
        <v>127</v>
      </c>
      <c r="C108" s="120" t="s">
        <v>128</v>
      </c>
      <c r="D108" s="84"/>
      <c r="E108" s="84"/>
      <c r="F108" s="14" t="str">
        <f>IF(事務所用①くわしい設定!$B$69=0,"",事務所用①くわしい設定!$B$69)</f>
        <v/>
      </c>
    </row>
    <row r="109" spans="1:7" ht="33.950000000000003" customHeight="1" x14ac:dyDescent="0.15">
      <c r="B109" s="101" t="s">
        <v>129</v>
      </c>
      <c r="C109" s="93"/>
      <c r="D109" s="93"/>
      <c r="E109" s="93"/>
      <c r="F109" s="15">
        <f>SUMIF(F100:F104,"&gt;0")+N(F105)+N(F106)+N(F108)</f>
        <v>0</v>
      </c>
    </row>
    <row r="110" spans="1:7" ht="12" customHeight="1" x14ac:dyDescent="0.15"/>
    <row r="111" spans="1:7" ht="33.950000000000003" customHeight="1" x14ac:dyDescent="0.15">
      <c r="A111" s="88" t="s">
        <v>130</v>
      </c>
      <c r="B111" s="84"/>
      <c r="C111" s="84"/>
      <c r="D111" s="84"/>
      <c r="E111" s="84"/>
      <c r="F111" s="84"/>
    </row>
    <row r="112" spans="1:7" ht="39.950000000000003" customHeight="1" x14ac:dyDescent="0.15">
      <c r="A112" s="4">
        <v>11</v>
      </c>
      <c r="B112" s="97" t="s">
        <v>131</v>
      </c>
      <c r="C112" s="84"/>
      <c r="D112" s="84"/>
      <c r="E112" s="84"/>
      <c r="F112" s="84"/>
    </row>
    <row r="113" spans="1:6" ht="36" customHeight="1" x14ac:dyDescent="0.15">
      <c r="A113" s="5" t="str">
        <f>IF($C$113&lt;&gt;"","✓済","")</f>
        <v/>
      </c>
      <c r="B113" s="6" t="s">
        <v>132</v>
      </c>
      <c r="C113" s="109"/>
      <c r="D113" s="95"/>
      <c r="E113" s="95"/>
      <c r="F113" s="8" t="s">
        <v>133</v>
      </c>
    </row>
    <row r="114" spans="1:6" ht="45.95" customHeight="1" x14ac:dyDescent="0.15">
      <c r="B114" s="26" t="s">
        <v>134</v>
      </c>
      <c r="C114" s="109"/>
      <c r="D114" s="95"/>
      <c r="E114" s="95"/>
      <c r="F114" s="8" t="s">
        <v>135</v>
      </c>
    </row>
    <row r="115" spans="1:6" ht="36" customHeight="1" x14ac:dyDescent="0.15">
      <c r="B115" s="6" t="s">
        <v>136</v>
      </c>
      <c r="C115" s="99"/>
      <c r="D115" s="95"/>
      <c r="E115" s="95"/>
      <c r="F115" s="8" t="s">
        <v>137</v>
      </c>
    </row>
    <row r="116" spans="1:6" ht="36" customHeight="1" x14ac:dyDescent="0.15">
      <c r="B116" s="6" t="s">
        <v>138</v>
      </c>
      <c r="C116" s="99"/>
      <c r="D116" s="95"/>
      <c r="E116" s="95"/>
      <c r="F116" s="8" t="s">
        <v>139</v>
      </c>
    </row>
    <row r="117" spans="1:6" ht="36" customHeight="1" x14ac:dyDescent="0.15">
      <c r="B117" s="6" t="s">
        <v>140</v>
      </c>
      <c r="C117" s="99"/>
      <c r="D117" s="95"/>
      <c r="E117" s="95"/>
      <c r="F117" s="8" t="s">
        <v>141</v>
      </c>
    </row>
    <row r="118" spans="1:6" ht="36" customHeight="1" x14ac:dyDescent="0.15">
      <c r="B118" s="6" t="s">
        <v>142</v>
      </c>
      <c r="C118" s="99"/>
      <c r="D118" s="95"/>
      <c r="E118" s="95"/>
      <c r="F118" s="8" t="s">
        <v>27</v>
      </c>
    </row>
    <row r="119" spans="1:6" ht="45.95" customHeight="1" x14ac:dyDescent="0.15">
      <c r="A119" s="4">
        <v>12</v>
      </c>
      <c r="B119" s="97" t="s">
        <v>143</v>
      </c>
      <c r="C119" s="84"/>
      <c r="D119" s="84"/>
      <c r="E119" s="84"/>
      <c r="F119" s="84"/>
    </row>
    <row r="120" spans="1:6" ht="36" customHeight="1" x14ac:dyDescent="0.15">
      <c r="B120" s="96" t="s">
        <v>144</v>
      </c>
      <c r="C120" s="84"/>
      <c r="D120" s="84"/>
      <c r="E120" s="84"/>
      <c r="F120" s="84"/>
    </row>
    <row r="121" spans="1:6" ht="51.95" customHeight="1" x14ac:dyDescent="0.15">
      <c r="A121" s="33" t="s">
        <v>145</v>
      </c>
      <c r="B121" s="89" t="s">
        <v>146</v>
      </c>
      <c r="C121" s="84"/>
      <c r="D121" s="84"/>
      <c r="E121" s="84"/>
      <c r="F121" s="84"/>
    </row>
    <row r="122" spans="1:6" ht="51.95" customHeight="1" x14ac:dyDescent="0.15">
      <c r="A122" s="33" t="s">
        <v>145</v>
      </c>
      <c r="B122" s="89" t="s">
        <v>147</v>
      </c>
      <c r="C122" s="84"/>
      <c r="D122" s="84"/>
      <c r="E122" s="84"/>
      <c r="F122" s="84"/>
    </row>
    <row r="123" spans="1:6" ht="51.95" customHeight="1" x14ac:dyDescent="0.15">
      <c r="A123" s="33" t="s">
        <v>145</v>
      </c>
      <c r="B123" s="89" t="s">
        <v>148</v>
      </c>
      <c r="C123" s="84"/>
      <c r="D123" s="84"/>
      <c r="E123" s="84"/>
      <c r="F123" s="84"/>
    </row>
    <row r="124" spans="1:6" ht="51.95" customHeight="1" x14ac:dyDescent="0.15">
      <c r="A124" s="33" t="s">
        <v>145</v>
      </c>
      <c r="B124" s="89" t="s">
        <v>149</v>
      </c>
      <c r="C124" s="84"/>
      <c r="D124" s="84"/>
      <c r="E124" s="84"/>
      <c r="F124" s="84"/>
    </row>
    <row r="125" spans="1:6" ht="39.950000000000003" customHeight="1" x14ac:dyDescent="0.15">
      <c r="A125" s="34" t="s">
        <v>110</v>
      </c>
      <c r="B125" s="105"/>
      <c r="C125" s="95"/>
      <c r="D125" s="95"/>
      <c r="E125" s="95"/>
      <c r="F125" s="95"/>
    </row>
    <row r="126" spans="1:6" ht="12" customHeight="1" x14ac:dyDescent="0.15"/>
    <row r="127" spans="1:6" ht="33.950000000000003" customHeight="1" x14ac:dyDescent="0.15">
      <c r="A127" s="88" t="s">
        <v>150</v>
      </c>
      <c r="B127" s="84"/>
      <c r="C127" s="84"/>
      <c r="D127" s="84"/>
      <c r="E127" s="84"/>
      <c r="F127" s="84"/>
    </row>
    <row r="128" spans="1:6" ht="50.1" customHeight="1" x14ac:dyDescent="0.15">
      <c r="B128" s="119" t="s">
        <v>151</v>
      </c>
      <c r="C128" s="93"/>
      <c r="D128" s="107">
        <f>'見積書（印刷用）'!$C$14</f>
        <v>0</v>
      </c>
      <c r="E128" s="93"/>
      <c r="F128" s="93"/>
    </row>
    <row r="129" spans="1:6" ht="32.1" customHeight="1" x14ac:dyDescent="0.15">
      <c r="B129" s="110" t="s">
        <v>152</v>
      </c>
      <c r="C129" s="93"/>
      <c r="D129" s="104">
        <f>'見積書（印刷用）'!$C$13</f>
        <v>0</v>
      </c>
      <c r="E129" s="93"/>
      <c r="F129" s="93"/>
    </row>
    <row r="130" spans="1:6" ht="32.1" customHeight="1" x14ac:dyDescent="0.15">
      <c r="B130" s="110" t="s">
        <v>153</v>
      </c>
      <c r="C130" s="93"/>
      <c r="D130" s="104">
        <f>'見積書（印刷用）'!$G$13</f>
        <v>0</v>
      </c>
      <c r="E130" s="93"/>
      <c r="F130" s="93"/>
    </row>
    <row r="131" spans="1:6" ht="26.1" customHeight="1" x14ac:dyDescent="0.15">
      <c r="B131" s="96" t="s">
        <v>154</v>
      </c>
      <c r="C131" s="84"/>
      <c r="D131" s="84"/>
      <c r="E131" s="84"/>
      <c r="F131" s="84"/>
    </row>
    <row r="132" spans="1:6" ht="27.95" customHeight="1" x14ac:dyDescent="0.15">
      <c r="B132" s="103" t="s">
        <v>155</v>
      </c>
      <c r="C132" s="93"/>
      <c r="D132" s="93"/>
      <c r="E132" s="102">
        <f>'見積書（印刷用）'!$G$27</f>
        <v>0</v>
      </c>
      <c r="F132" s="93"/>
    </row>
    <row r="133" spans="1:6" ht="27.95" customHeight="1" x14ac:dyDescent="0.15">
      <c r="B133" s="103" t="s">
        <v>156</v>
      </c>
      <c r="C133" s="93"/>
      <c r="D133" s="93"/>
      <c r="E133" s="102">
        <f>'見積書（印刷用）'!$G$28</f>
        <v>0</v>
      </c>
      <c r="F133" s="93"/>
    </row>
    <row r="134" spans="1:6" ht="27.95" customHeight="1" x14ac:dyDescent="0.15">
      <c r="B134" s="103" t="s">
        <v>157</v>
      </c>
      <c r="C134" s="93"/>
      <c r="D134" s="93"/>
      <c r="E134" s="102">
        <f>'見積書（印刷用）'!$G$30</f>
        <v>0</v>
      </c>
      <c r="F134" s="93"/>
    </row>
    <row r="135" spans="1:6" ht="27.95" customHeight="1" x14ac:dyDescent="0.15">
      <c r="B135" s="103" t="s">
        <v>158</v>
      </c>
      <c r="C135" s="93"/>
      <c r="D135" s="93"/>
      <c r="E135" s="102">
        <f>'見積書（印刷用）'!$G$31</f>
        <v>0</v>
      </c>
      <c r="F135" s="93"/>
    </row>
    <row r="136" spans="1:6" ht="27.95" customHeight="1" x14ac:dyDescent="0.15">
      <c r="B136" s="103" t="s">
        <v>159</v>
      </c>
      <c r="C136" s="93"/>
      <c r="D136" s="93"/>
      <c r="E136" s="102">
        <f>'見積書（印刷用）'!$G$33</f>
        <v>0</v>
      </c>
      <c r="F136" s="93"/>
    </row>
    <row r="137" spans="1:6" ht="27.95" customHeight="1" x14ac:dyDescent="0.15">
      <c r="B137" s="103" t="s">
        <v>160</v>
      </c>
      <c r="C137" s="93"/>
      <c r="D137" s="93"/>
      <c r="E137" s="102">
        <f>'見積書（印刷用）'!$G$35</f>
        <v>0</v>
      </c>
      <c r="F137" s="93"/>
    </row>
    <row r="138" spans="1:6" ht="12" customHeight="1" x14ac:dyDescent="0.15"/>
    <row r="139" spans="1:6" ht="33.950000000000003" customHeight="1" x14ac:dyDescent="0.15">
      <c r="A139" s="88" t="s">
        <v>161</v>
      </c>
      <c r="B139" s="84"/>
      <c r="C139" s="84"/>
      <c r="D139" s="84"/>
      <c r="E139" s="84"/>
      <c r="F139" s="84"/>
    </row>
    <row r="140" spans="1:6" ht="44.1" customHeight="1" x14ac:dyDescent="0.15">
      <c r="B140" s="106" t="s">
        <v>162</v>
      </c>
      <c r="C140" s="84"/>
      <c r="D140" s="84"/>
      <c r="E140" s="84"/>
      <c r="F140" s="84"/>
    </row>
    <row r="141" spans="1:6" ht="44.1" customHeight="1" x14ac:dyDescent="0.15">
      <c r="B141" s="106" t="s">
        <v>163</v>
      </c>
      <c r="C141" s="84"/>
      <c r="D141" s="84"/>
      <c r="E141" s="84"/>
      <c r="F141" s="84"/>
    </row>
    <row r="142" spans="1:6" ht="44.1" customHeight="1" x14ac:dyDescent="0.15">
      <c r="B142" s="106" t="s">
        <v>164</v>
      </c>
      <c r="C142" s="84"/>
      <c r="D142" s="84"/>
      <c r="E142" s="84"/>
      <c r="F142" s="84"/>
    </row>
    <row r="143" spans="1:6" ht="44.1" customHeight="1" x14ac:dyDescent="0.15">
      <c r="B143" s="106" t="s">
        <v>165</v>
      </c>
      <c r="C143" s="84"/>
      <c r="D143" s="84"/>
      <c r="E143" s="84"/>
      <c r="F143" s="84"/>
    </row>
    <row r="144" spans="1:6" ht="44.1" customHeight="1" x14ac:dyDescent="0.15">
      <c r="B144" s="111" t="s">
        <v>166</v>
      </c>
      <c r="C144" s="84"/>
      <c r="D144" s="84"/>
      <c r="E144" s="84"/>
      <c r="F144" s="84"/>
    </row>
    <row r="145" spans="2:6" ht="36" customHeight="1" x14ac:dyDescent="0.15">
      <c r="B145" s="116" t="s">
        <v>167</v>
      </c>
      <c r="C145" s="84"/>
      <c r="D145" s="84"/>
      <c r="E145" s="84"/>
      <c r="F145" s="84"/>
    </row>
  </sheetData>
  <sheetProtection sheet="1" formatCells="0" formatColumns="0" formatRows="0"/>
  <mergeCells count="120">
    <mergeCell ref="B145:F145"/>
    <mergeCell ref="C72:E72"/>
    <mergeCell ref="E133:F133"/>
    <mergeCell ref="D106:E106"/>
    <mergeCell ref="A111:F111"/>
    <mergeCell ref="C78:E78"/>
    <mergeCell ref="B42:E42"/>
    <mergeCell ref="C14:E14"/>
    <mergeCell ref="A1:F1"/>
    <mergeCell ref="E134:F134"/>
    <mergeCell ref="B123:F123"/>
    <mergeCell ref="B132:D132"/>
    <mergeCell ref="B140:F140"/>
    <mergeCell ref="D40:E40"/>
    <mergeCell ref="B77:F77"/>
    <mergeCell ref="B62:E62"/>
    <mergeCell ref="B67:F67"/>
    <mergeCell ref="D32:E32"/>
    <mergeCell ref="B61:F61"/>
    <mergeCell ref="A4:F4"/>
    <mergeCell ref="D41:E41"/>
    <mergeCell ref="B119:F119"/>
    <mergeCell ref="B29:F29"/>
    <mergeCell ref="B69:F69"/>
    <mergeCell ref="A2:F2"/>
    <mergeCell ref="B43:F43"/>
    <mergeCell ref="B63:E63"/>
    <mergeCell ref="B137:D137"/>
    <mergeCell ref="B130:C130"/>
    <mergeCell ref="B120:F120"/>
    <mergeCell ref="C70:E70"/>
    <mergeCell ref="B98:F98"/>
    <mergeCell ref="B107:F107"/>
    <mergeCell ref="D130:F130"/>
    <mergeCell ref="B8:F8"/>
    <mergeCell ref="A28:F28"/>
    <mergeCell ref="C13:E13"/>
    <mergeCell ref="D37:E37"/>
    <mergeCell ref="A127:F127"/>
    <mergeCell ref="C15:E15"/>
    <mergeCell ref="D39:E39"/>
    <mergeCell ref="B83:F83"/>
    <mergeCell ref="C104:E104"/>
    <mergeCell ref="C116:E116"/>
    <mergeCell ref="B124:F124"/>
    <mergeCell ref="C79:E79"/>
    <mergeCell ref="D38:E38"/>
    <mergeCell ref="C73:E73"/>
    <mergeCell ref="B144:F144"/>
    <mergeCell ref="B54:F54"/>
    <mergeCell ref="B125:F125"/>
    <mergeCell ref="D34:E34"/>
    <mergeCell ref="C75:E75"/>
    <mergeCell ref="C118:E118"/>
    <mergeCell ref="C22:E22"/>
    <mergeCell ref="B121:F121"/>
    <mergeCell ref="C114:E114"/>
    <mergeCell ref="C26:E26"/>
    <mergeCell ref="B136:D136"/>
    <mergeCell ref="C117:E117"/>
    <mergeCell ref="B141:F141"/>
    <mergeCell ref="B80:E80"/>
    <mergeCell ref="E135:F135"/>
    <mergeCell ref="A139:F139"/>
    <mergeCell ref="E132:F132"/>
    <mergeCell ref="D105:E105"/>
    <mergeCell ref="C115:E115"/>
    <mergeCell ref="B96:E96"/>
    <mergeCell ref="C102:E102"/>
    <mergeCell ref="B112:F112"/>
    <mergeCell ref="B128:C128"/>
    <mergeCell ref="C68:E68"/>
    <mergeCell ref="E137:F137"/>
    <mergeCell ref="B133:D133"/>
    <mergeCell ref="B44:F44"/>
    <mergeCell ref="D129:F129"/>
    <mergeCell ref="B135:D135"/>
    <mergeCell ref="C101:E101"/>
    <mergeCell ref="B84:F84"/>
    <mergeCell ref="B143:F143"/>
    <mergeCell ref="B30:F30"/>
    <mergeCell ref="B134:D134"/>
    <mergeCell ref="A82:F82"/>
    <mergeCell ref="D128:F128"/>
    <mergeCell ref="C74:E74"/>
    <mergeCell ref="D33:E33"/>
    <mergeCell ref="E136:F136"/>
    <mergeCell ref="B142:F142"/>
    <mergeCell ref="C113:E113"/>
    <mergeCell ref="C103:E103"/>
    <mergeCell ref="D35:E35"/>
    <mergeCell ref="B129:C129"/>
    <mergeCell ref="C99:E99"/>
    <mergeCell ref="C108:E108"/>
    <mergeCell ref="B64:F64"/>
    <mergeCell ref="C100:E100"/>
    <mergeCell ref="A66:F66"/>
    <mergeCell ref="B122:F122"/>
    <mergeCell ref="B71:F71"/>
    <mergeCell ref="A3:F3"/>
    <mergeCell ref="D31:E31"/>
    <mergeCell ref="D36:E36"/>
    <mergeCell ref="B131:F131"/>
    <mergeCell ref="B18:F18"/>
    <mergeCell ref="B76:E76"/>
    <mergeCell ref="C23:E23"/>
    <mergeCell ref="A5:F5"/>
    <mergeCell ref="B109:E109"/>
    <mergeCell ref="C20:E20"/>
    <mergeCell ref="C25:E25"/>
    <mergeCell ref="A7:F7"/>
    <mergeCell ref="C12:E12"/>
    <mergeCell ref="C10:E10"/>
    <mergeCell ref="C9:E9"/>
    <mergeCell ref="B21:F21"/>
    <mergeCell ref="C11:E11"/>
    <mergeCell ref="A17:F17"/>
    <mergeCell ref="C19:E19"/>
    <mergeCell ref="B24:F24"/>
    <mergeCell ref="B97:F97"/>
  </mergeCells>
  <phoneticPr fontId="51"/>
  <conditionalFormatting sqref="C9:E9">
    <cfRule type="expression" dxfId="37" priority="1">
      <formula>$C$9=""</formula>
    </cfRule>
  </conditionalFormatting>
  <conditionalFormatting sqref="C19:E19">
    <cfRule type="expression" dxfId="36" priority="2">
      <formula>$C$19=""</formula>
    </cfRule>
  </conditionalFormatting>
  <conditionalFormatting sqref="C22:E22">
    <cfRule type="expression" dxfId="35" priority="3">
      <formula>$C$22=""</formula>
    </cfRule>
  </conditionalFormatting>
  <conditionalFormatting sqref="C25:E25">
    <cfRule type="expression" dxfId="34" priority="4">
      <formula>$C$25=""</formula>
    </cfRule>
  </conditionalFormatting>
  <conditionalFormatting sqref="C26:E26">
    <cfRule type="expression" dxfId="33" priority="5">
      <formula>$C$26=""</formula>
    </cfRule>
  </conditionalFormatting>
  <conditionalFormatting sqref="C25:E26">
    <cfRule type="expression" dxfId="32" priority="6">
      <formula>AND(ISNUMBER($C$25),ISNUMBER($C$26),$C$26&lt;$C$25)</formula>
    </cfRule>
  </conditionalFormatting>
  <conditionalFormatting sqref="F32:F41">
    <cfRule type="expression" dxfId="31" priority="7">
      <formula>F32="要確認"</formula>
    </cfRule>
  </conditionalFormatting>
  <conditionalFormatting sqref="C32:C41">
    <cfRule type="expression" dxfId="30" priority="8">
      <formula>AND(COUNTA($B32:$D32)&gt;0,NOT(ISNUMBER($C32)))</formula>
    </cfRule>
  </conditionalFormatting>
  <conditionalFormatting sqref="D32:E41">
    <cfRule type="expression" dxfId="29" priority="9">
      <formula>AND(COUNTA($B32:$D32)&gt;0,NOT(ISNUMBER($D32)))</formula>
    </cfRule>
  </conditionalFormatting>
  <conditionalFormatting sqref="B32:B41">
    <cfRule type="expression" dxfId="28" priority="10">
      <formula>AND(COUNTA($B32:$D32)&gt;0,$B32="")</formula>
    </cfRule>
  </conditionalFormatting>
  <conditionalFormatting sqref="F46:F53">
    <cfRule type="expression" dxfId="27" priority="11">
      <formula>F46="要確認"</formula>
    </cfRule>
  </conditionalFormatting>
  <conditionalFormatting sqref="B46:B53">
    <cfRule type="expression" dxfId="26" priority="12">
      <formula>AND(COUNTA($B46:$D46,$G46)&gt;0,$B46="")</formula>
    </cfRule>
  </conditionalFormatting>
  <conditionalFormatting sqref="C46:D53">
    <cfRule type="expression" dxfId="25" priority="13">
      <formula>AND(COUNTA($B46:$D46,$G46)&gt;0,OR(NOT(ISNUMBER(C46)),N(C46)&lt;=0))</formula>
    </cfRule>
  </conditionalFormatting>
  <conditionalFormatting sqref="G46:G53">
    <cfRule type="expression" dxfId="24" priority="14">
      <formula>AND($B46&lt;&gt;"",OR(AND($G46="",N($E46)=0),AND($G46&lt;&gt;"",N($G46)&lt;=0)))</formula>
    </cfRule>
    <cfRule type="expression" dxfId="23" priority="15">
      <formula>AND($G46&lt;&gt;"",N($G46)&gt;0)</formula>
    </cfRule>
  </conditionalFormatting>
  <conditionalFormatting sqref="E46:E53">
    <cfRule type="expression" dxfId="22" priority="16">
      <formula>AND($G46&lt;&gt;"",N($G46)&gt;0)</formula>
    </cfRule>
  </conditionalFormatting>
  <conditionalFormatting sqref="H56:H60">
    <cfRule type="expression" dxfId="21" priority="17">
      <formula>AND($H56&lt;&gt;"",N($H56)&gt;0)</formula>
    </cfRule>
    <cfRule type="expression" dxfId="20" priority="19">
      <formula>AND($B56&lt;&gt;"",$H56="",N($G56)=0)</formula>
    </cfRule>
  </conditionalFormatting>
  <conditionalFormatting sqref="G56:G60">
    <cfRule type="expression" dxfId="19" priority="18">
      <formula>AND($H56&lt;&gt;"",N($H56)&gt;0)</formula>
    </cfRule>
  </conditionalFormatting>
  <conditionalFormatting sqref="F56:F60">
    <cfRule type="expression" dxfId="18" priority="20">
      <formula>F56="要確認"</formula>
    </cfRule>
  </conditionalFormatting>
  <conditionalFormatting sqref="C56:C60">
    <cfRule type="expression" dxfId="17" priority="21">
      <formula>AND(COUNTA($B56:$C56,$E56,$H56)&gt;0,OR(NOT(ISNUMBER(C56)),N(C56)&lt;=0))</formula>
    </cfRule>
  </conditionalFormatting>
  <conditionalFormatting sqref="E56:E60">
    <cfRule type="expression" dxfId="16" priority="22">
      <formula>AND(COUNTA($B56:$C56,$E56,$H56)&gt;0,OR(NOT(ISNUMBER(E56)),N(E56)&lt;=0))</formula>
    </cfRule>
  </conditionalFormatting>
  <conditionalFormatting sqref="C68:E68">
    <cfRule type="expression" dxfId="15" priority="23">
      <formula>$C$68=""</formula>
    </cfRule>
  </conditionalFormatting>
  <conditionalFormatting sqref="C70:E70">
    <cfRule type="expression" dxfId="14" priority="24">
      <formula>AND($C$68="はい",$C$70="")</formula>
    </cfRule>
    <cfRule type="expression" dxfId="13" priority="27">
      <formula>$C$68="いいえ"</formula>
    </cfRule>
  </conditionalFormatting>
  <conditionalFormatting sqref="C72:E72">
    <cfRule type="expression" dxfId="12" priority="25">
      <formula>AND($C$68="いいえ",$C$72="")</formula>
    </cfRule>
  </conditionalFormatting>
  <conditionalFormatting sqref="C74:E74">
    <cfRule type="expression" dxfId="11" priority="26">
      <formula>AND($C$68="いいえ",N($C$74)=0)</formula>
    </cfRule>
  </conditionalFormatting>
  <conditionalFormatting sqref="C72:E75">
    <cfRule type="expression" dxfId="10" priority="28">
      <formula>$C$68="はい"</formula>
    </cfRule>
  </conditionalFormatting>
  <conditionalFormatting sqref="C78:E78">
    <cfRule type="expression" dxfId="9" priority="29">
      <formula>$C$78=""</formula>
    </cfRule>
  </conditionalFormatting>
  <conditionalFormatting sqref="C79:E79">
    <cfRule type="expression" dxfId="8" priority="30">
      <formula>AND($C$78="はい",$C$79="")</formula>
    </cfRule>
    <cfRule type="expression" dxfId="7" priority="31">
      <formula>$C$78="いいえ"</formula>
    </cfRule>
  </conditionalFormatting>
  <conditionalFormatting sqref="D86:E95">
    <cfRule type="expression" dxfId="6" priority="32">
      <formula>AND($C86="○",NOT(ISNUMBER(D86)))</formula>
    </cfRule>
    <cfRule type="expression" dxfId="5" priority="34">
      <formula>$C86="○"</formula>
    </cfRule>
  </conditionalFormatting>
  <conditionalFormatting sqref="F86:F95">
    <cfRule type="expression" dxfId="4" priority="33">
      <formula>F86="要確認"</formula>
    </cfRule>
  </conditionalFormatting>
  <conditionalFormatting sqref="F100:F104">
    <cfRule type="expression" dxfId="3" priority="35">
      <formula>AND(F100&lt;&gt;"",OR(NOT(ISNUMBER(F100)),N(F100)&lt;0))</formula>
    </cfRule>
  </conditionalFormatting>
  <conditionalFormatting sqref="C105:C106">
    <cfRule type="expression" dxfId="2" priority="36">
      <formula>AND(N($C$105)&gt;0,N($C$106)&gt;0)</formula>
    </cfRule>
  </conditionalFormatting>
  <conditionalFormatting sqref="C113:E113">
    <cfRule type="expression" dxfId="1" priority="37">
      <formula>$C$113=""</formula>
    </cfRule>
  </conditionalFormatting>
  <conditionalFormatting sqref="A5">
    <cfRule type="expression" dxfId="0" priority="38">
      <formula>AND($G$5=0,$H$5=0)</formula>
    </cfRule>
  </conditionalFormatting>
  <dataValidations count="24">
    <dataValidation type="date" operator="greaterThan" allowBlank="1" showInputMessage="1" showErrorMessage="1" errorTitle="日付の入れ方" error="日付は「2026/11/1」のように入れてください。_x000a_「再試行」を押して入れ直せば大丈夫です。" promptTitle="日付の入れ方" prompt="「2026/11/1」のように、数字と / で入れてください" sqref="C14 C113:C114" xr:uid="{00000000-0002-0000-0100-000000000000}">
      <formula1>36526</formula1>
    </dataValidation>
    <dataValidation type="custom" allowBlank="1" showInputMessage="1" showErrorMessage="1" errorTitle="日付を確かめてください" error="日付は「2026/11/1」のように入れてください。_x000a_終わる日が始まる日より前にならないようにしてください。" promptTitle="日付の入れ方" prompt="「2026/11/1」のように、数字と / で入れてください" sqref="C25" xr:uid="{00000000-0002-0000-0100-000001000000}">
      <formula1>AND(ISNUMBER($C$25),$C$25&gt;36526,OR($C$26="",$C$25&lt;=$C$26))</formula1>
    </dataValidation>
    <dataValidation type="custom" allowBlank="1" showInputMessage="1" showErrorMessage="1" errorTitle="日付を確かめてください" error="日付は「2026/11/1」のように入れてください。_x000a_終わる日が始まる日より前にならないようにしてください。" promptTitle="日付の入れ方" prompt="「2026/11/1」のように、数字と / で入れてください" sqref="C26" xr:uid="{00000000-0002-0000-0100-000002000000}">
      <formula1>AND(ISNUMBER($C$26),$C$26&gt;36526,OR($C$25="",$C$26&gt;=$C$25))</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数を入れてください（例：10）" sqref="C32:C41" xr:uid="{00000000-0002-0000-0100-000003000000}">
      <formula1>0</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1つの値段を円で入れてください（例：2000）" sqref="D32:D41" xr:uid="{00000000-0002-0000-0100-000004000000}">
      <formula1>0</formula1>
    </dataValidation>
    <dataValidation type="list" allowBlank="1" showInputMessage="1" promptTitle="職人さんの種類" prompt="セルの右の ▼ をクリックして選んでください。_x000a_リストにない時は、そのまま文字で打ち込んでもOKです（例：大工）。" sqref="B46:B53 B56:B60" xr:uid="{00000000-0002-0000-0100-000005000000}">
      <formula1>かんたん職種</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数字だけを入れてください（例：2）" sqref="C46:D53" xr:uid="{00000000-0002-0000-0100-000006000000}">
      <formula1>0</formula1>
    </dataValidation>
    <dataValidation type="decimal" operator="greaterThan" allowBlank="1" showInputMessage="1" showErrorMessage="1" errorTitle="数字を入れてください" error="0より大きい数字を入れてください（例：21）。_x000a_「再試行」を押して入れ直せば大丈夫です。" promptTitle="ヒント" prompt="実際の日当が国の目安と違う時だけ入れてください（例：25000）。空欄なら国の目安で計算します" sqref="G46:G53" xr:uid="{00000000-0002-0000-0100-000007000000}">
      <formula1>0</formula1>
    </dataValidation>
    <dataValidation type="decimal" operator="greaterThan" allowBlank="1" showInputMessage="1" showErrorMessage="1" errorTitle="数字を入れてください" error="0より大きい数字を入れてください（例：21）。_x000a_「再試行」を押して入れ直せば大丈夫です。" promptTitle="ヒント" prompt="実際の日当が国の目安と違う時だけ入れてください。空欄なら国の目安で計算します" sqref="H56:H60" xr:uid="{00000000-0002-0000-0100-000009000000}">
      <formula1>0</formula1>
    </dataValidation>
    <dataValidation type="list" allowBlank="1" showInputMessage="1" showErrorMessage="1" errorTitle="えらんでください" error="▼をクリックして、出てきた中からえらんでください。" promptTitle="ヒント" prompt="単位をえらんでください" sqref="D56:D60" xr:uid="{00000000-0002-0000-0100-00000A000000}">
      <formula1>"㎡,m,か所,本,枚,t,台"</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全部でどれだけの量か（例：1200）" sqref="C56:C60" xr:uid="{00000000-0002-0000-0100-00000B000000}">
      <formula1>0</formula1>
    </dataValidation>
    <dataValidation type="decimal" operator="greaterThan" allowBlank="1" showInputMessage="1" showErrorMessage="1" errorTitle="数字を入れてください" error="0より大きい数字を入れてください（例：21）。_x000a_「再試行」を押して入れ直せば大丈夫です。" promptTitle="ヒント" prompt="職人1人が1日でできる量（例：11）。0は入れられません" sqref="E56:E60" xr:uid="{00000000-0002-0000-0100-00000C000000}">
      <formula1>0</formula1>
    </dataValidation>
    <dataValidation type="list" allowBlank="1" showInputMessage="1" showErrorMessage="1" errorTitle="えらんでください" error="▼をクリックして、出てきた中からえらんでください。" promptTitle="ヒント" prompt="職人さんを雇っているなら「はい」、一人親方なら「いいえ」" sqref="C68" xr:uid="{00000000-0002-0000-0100-00000D000000}">
      <formula1>"はい,いいえ"</formula1>
    </dataValidation>
    <dataValidation type="list" allowBlank="1" showInputMessage="1" showErrorMessage="1" errorTitle="えらんでください" error="▼をクリックして、出てきた中からえらんでください。" promptTitle="ヒント" prompt="「はい」か「いいえ」をえらんでください" sqref="C70 C78" xr:uid="{00000000-0002-0000-0100-00000E000000}">
      <formula1>"はい,いいえ"</formula1>
    </dataValidation>
    <dataValidation type="decimal" operator="greaterThanOrEqual" allowBlank="1" showErrorMessage="1" errorTitle="数字を入れてください" error="数字だけを入れてください（例：10）。_x000a_「再試行」を押して入れ直せば大丈夫です。" sqref="C75 C72:C73" xr:uid="{00000000-0002-0000-0100-00000F000000}">
      <formula1>0</formula1>
    </dataValidation>
    <dataValidation type="decimal" operator="greaterThan" allowBlank="1" showInputMessage="1" showErrorMessage="1" errorTitle="数字を入れてください" error="0より大きい数字を入れてください（例：21）。_x000a_「再試行」を押して入れ直せば大丈夫です。" promptTitle="ヒント" prompt="1か月に働く日数（例：21）。0は入れられません" sqref="C74" xr:uid="{00000000-0002-0000-0100-000011000000}">
      <formula1>0</formula1>
    </dataValidation>
    <dataValidation type="list" allowBlank="1" showInputMessage="1" showErrorMessage="1" errorTitle="えらんでください" error="▼をクリックして、出てきた中からえらんでください。" promptTitle="ヒント" prompt="元請さんが証紙を用意してくれるなら「はい」" sqref="C79" xr:uid="{00000000-0002-0000-0100-000014000000}">
      <formula1>"はい,いいえ"</formula1>
    </dataValidation>
    <dataValidation type="list" allowBlank="1" showInputMessage="1" showErrorMessage="1" errorTitle="えらんでください" error="▼をクリックして、出てきた中からえらんでください。" promptTitle="ヒント" prompt="使うものは ○ をえらんでください" sqref="C86:C95" xr:uid="{00000000-0002-0000-0100-000015000000}">
      <formula1>"○"</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数字だけを入れてください" sqref="D86:E95" xr:uid="{00000000-0002-0000-0100-000016000000}">
      <formula1>0</formula1>
    </dataValidation>
    <dataValidation type="decimal" operator="greaterThanOrEqual" allowBlank="1" showInputMessage="1" showErrorMessage="1" errorTitle="数字を入れてください" error="数字だけを入れてください（例：10）。_x000a_「再試行」を押して入れ直せば大丈夫です。" promptTitle="ヒント" prompt="金額を円で入れてください（例：15000）" sqref="F100:F104" xr:uid="{00000000-0002-0000-0100-000017000000}">
      <formula1>0</formula1>
    </dataValidation>
    <dataValidation type="custom" allowBlank="1" showErrorMessage="1" errorTitle="どちらか一方だけ" error="会社の経費は「1日あたり」か「％」のどちらか一方だけ入れてください。" sqref="C105" xr:uid="{00000000-0002-0000-0100-000018000000}">
      <formula1>AND(ISNUMBER(C105),C105&gt;=0,OR($C$106="",N($C$106)=0))</formula1>
    </dataValidation>
    <dataValidation type="custom" allowBlank="1" showErrorMessage="1" errorTitle="どちらか一方だけ" error="会社の経費は「1日あたり」か「％」のどちらか一方だけ入れてください。_x000a_％は0～50%の範囲で入れてください。" sqref="C106" xr:uid="{00000000-0002-0000-0100-000019000000}">
      <formula1>AND(ISNUMBER(C106),AND(C106&gt;=0,C106&lt;=0.5),OR($C$105="",N($C$105)=0))</formula1>
    </dataValidation>
    <dataValidation type="textLength" operator="lessThanOrEqual" allowBlank="1" showErrorMessage="1" errorTitle="長すぎます" error="80文字以内で入れてください（見積書の枠に入りきらないため）。" sqref="B125" xr:uid="{00000000-0002-0000-0100-00001C000000}">
      <formula1>80</formula1>
    </dataValidation>
    <dataValidation type="list" allowBlank="1" showInputMessage="1" showErrorMessage="1" errorTitle="えらんでください" error="▼をクリックして、出てきた中からえらんでください。" promptTitle="ヒント" prompt="入れたい一言に ○ をえらんでください" sqref="A121:A124" xr:uid="{00000000-0002-0000-0100-00001D000000}">
      <formula1>"○"</formula1>
    </dataValidation>
  </dataValidations>
  <printOptions horizontalCentered="1"/>
  <pageMargins left="0.4" right="0.4" top="0.5" bottom="0.5" header="0.5" footer="0.5"/>
  <pageSetup paperSize="9" fitToHeight="0" orientation="portrait" blackAndWhite="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472C4"/>
    <pageSetUpPr fitToPage="1"/>
  </sheetPr>
  <dimension ref="A1:J51"/>
  <sheetViews>
    <sheetView showGridLines="0" workbookViewId="0">
      <selection sqref="A1:H1"/>
    </sheetView>
  </sheetViews>
  <sheetFormatPr defaultRowHeight="13.5" x14ac:dyDescent="0.15"/>
  <cols>
    <col min="1" max="2" width="15" customWidth="1"/>
    <col min="3" max="4" width="13" customWidth="1"/>
    <col min="5" max="5" width="6" customWidth="1"/>
    <col min="6" max="8" width="12" customWidth="1"/>
    <col min="9" max="9" width="2" customWidth="1"/>
    <col min="10" max="10" width="50" customWidth="1"/>
  </cols>
  <sheetData>
    <row r="1" spans="1:10" ht="36" customHeight="1" x14ac:dyDescent="0.15">
      <c r="A1" s="134" t="s">
        <v>168</v>
      </c>
      <c r="B1" s="84"/>
      <c r="C1" s="84"/>
      <c r="D1" s="84"/>
      <c r="E1" s="84"/>
      <c r="F1" s="84"/>
      <c r="G1" s="84"/>
      <c r="H1" s="84"/>
      <c r="J1" s="35" t="s">
        <v>169</v>
      </c>
    </row>
    <row r="2" spans="1:10" ht="30" customHeight="1" x14ac:dyDescent="0.15">
      <c r="A2" s="149" t="str">
        <f>IF(AND(かんたん入力!$G$5=0,かんたん入力!$H$5=0),"","【下書き：入力が終わっていない所があります】")</f>
        <v>【下書き：入力が終わっていない所があります】</v>
      </c>
      <c r="B2" s="84"/>
      <c r="C2" s="84"/>
      <c r="D2" s="84"/>
      <c r="F2" s="36" t="s">
        <v>142</v>
      </c>
      <c r="G2" s="124" t="str">
        <f>IF(かんたん入力!$C$118="","",かんたん入力!$C$118)</f>
        <v/>
      </c>
      <c r="H2" s="84"/>
      <c r="J2" s="37" t="str">
        <f>かんたん入力!A5</f>
        <v>あと 7 問です。（オレンジ色の所を入れてください）</v>
      </c>
    </row>
    <row r="3" spans="1:10" ht="26.1" customHeight="1" x14ac:dyDescent="0.15">
      <c r="A3" s="146" t="str">
        <f>IF(かんたん入力!$C$19="","（相手の名前が未入力です）",かんたん入力!$C$19&amp;"　御中")</f>
        <v>（相手の名前が未入力です）</v>
      </c>
      <c r="B3" s="147"/>
      <c r="C3" s="147"/>
      <c r="D3" s="147"/>
      <c r="F3" s="36" t="s">
        <v>170</v>
      </c>
      <c r="G3" s="139" t="str">
        <f>IF(かんたん入力!$C$113="","",かんたん入力!$C$113)</f>
        <v/>
      </c>
      <c r="H3" s="84"/>
      <c r="J3" s="38" t="str">
        <f>IF(COUNTIF(事務所用②料率と日当!E19:E68,"要確認*")&gt;0,"※事務所の方へ：日当（事務所用②）は原本と照合済みですか？","")</f>
        <v>※事務所の方へ：日当（事務所用②）は原本と照合済みですか？</v>
      </c>
    </row>
    <row r="4" spans="1:10" ht="16.5" x14ac:dyDescent="0.15">
      <c r="A4" s="125" t="str">
        <f>IF(かんたん入力!$C$20="","","担当："&amp;かんたん入力!$C$20&amp;"　様")</f>
        <v/>
      </c>
      <c r="B4" s="84"/>
      <c r="C4" s="84"/>
      <c r="D4" s="84"/>
    </row>
    <row r="5" spans="1:10" ht="21.95" customHeight="1" x14ac:dyDescent="0.15">
      <c r="A5" s="39" t="s">
        <v>171</v>
      </c>
      <c r="B5" s="121" t="str">
        <f>IF(かんたん入力!$C$22="","",かんたん入力!$C$22)</f>
        <v/>
      </c>
      <c r="C5" s="93"/>
      <c r="D5" s="93"/>
      <c r="F5" s="123" t="str">
        <f>IF(かんたん入力!$C$9="","",かんたん入力!$C$9)</f>
        <v/>
      </c>
      <c r="G5" s="84"/>
      <c r="H5" s="84"/>
    </row>
    <row r="6" spans="1:10" ht="21.95" customHeight="1" x14ac:dyDescent="0.15">
      <c r="A6" s="39" t="s">
        <v>172</v>
      </c>
      <c r="B6" s="121" t="str">
        <f>IF(かんたん入力!$C$23="","",かんたん入力!$C$23)</f>
        <v/>
      </c>
      <c r="C6" s="93"/>
      <c r="D6" s="93"/>
      <c r="F6" s="144" t="str">
        <f>IF(かんたん入力!$C$10="","",かんたん入力!$C$10)</f>
        <v/>
      </c>
      <c r="G6" s="84"/>
      <c r="H6" s="84"/>
    </row>
    <row r="7" spans="1:10" ht="21.95" customHeight="1" x14ac:dyDescent="0.15">
      <c r="A7" s="39" t="s">
        <v>173</v>
      </c>
      <c r="B7" s="40" t="str">
        <f>IF(かんたん入力!$C$25="","",かんたん入力!$C$25)</f>
        <v/>
      </c>
      <c r="C7" s="41" t="s">
        <v>174</v>
      </c>
      <c r="D7" s="40" t="str">
        <f>IF(かんたん入力!$C$26="","",かんたん入力!$C$26)</f>
        <v/>
      </c>
      <c r="F7" s="150" t="str">
        <f>IF(かんたん入力!$C$11="","","TEL "&amp;かんたん入力!$C$11)&amp;IF(かんたん入力!$C$12="","","　FAX "&amp;かんたん入力!$C$12)</f>
        <v/>
      </c>
      <c r="G7" s="84"/>
      <c r="H7" s="84"/>
    </row>
    <row r="8" spans="1:10" ht="21.95" customHeight="1" x14ac:dyDescent="0.15">
      <c r="A8" s="39" t="s">
        <v>175</v>
      </c>
      <c r="B8" s="126" t="str">
        <f>IF(かんたん入力!$C$114="","",かんたん入力!$C$114)</f>
        <v/>
      </c>
      <c r="C8" s="93"/>
      <c r="D8" s="93"/>
      <c r="F8" s="130" t="str">
        <f>IF(かんたん入力!$C$13="","",かんたん入力!$C$13)</f>
        <v/>
      </c>
      <c r="G8" s="84"/>
      <c r="H8" s="84"/>
    </row>
    <row r="9" spans="1:10" ht="21.95" customHeight="1" x14ac:dyDescent="0.15">
      <c r="A9" s="39" t="s">
        <v>176</v>
      </c>
      <c r="B9" s="121" t="str">
        <f>IF(かんたん入力!$C$115="","",かんたん入力!$C$115)</f>
        <v/>
      </c>
      <c r="C9" s="93"/>
      <c r="D9" s="93"/>
      <c r="F9" s="43" t="str">
        <f>IF(かんたん入力!$C$14="","","許可年月日")</f>
        <v/>
      </c>
      <c r="G9" s="151" t="str">
        <f>IF(かんたん入力!$C$14="","",かんたん入力!$C$14)</f>
        <v/>
      </c>
      <c r="H9" s="84"/>
    </row>
    <row r="10" spans="1:10" ht="21.95" customHeight="1" x14ac:dyDescent="0.15">
      <c r="A10" s="39" t="s">
        <v>177</v>
      </c>
      <c r="B10" s="121" t="str">
        <f>IF(かんたん入力!$C$116="","",かんたん入力!$C$116)</f>
        <v/>
      </c>
      <c r="C10" s="93"/>
      <c r="D10" s="93"/>
      <c r="F10" s="143" t="str">
        <f>IF(かんたん入力!$C$15="","","登録番号："&amp;かんたん入力!$C$15)</f>
        <v/>
      </c>
      <c r="G10" s="84"/>
      <c r="H10" s="84"/>
    </row>
    <row r="11" spans="1:10" ht="21.95" customHeight="1" x14ac:dyDescent="0.15">
      <c r="A11" s="39" t="s">
        <v>178</v>
      </c>
      <c r="B11" s="121" t="str">
        <f>IF(かんたん入力!$C$117="","",かんたん入力!$C$117)</f>
        <v/>
      </c>
      <c r="C11" s="93"/>
      <c r="D11" s="93"/>
    </row>
    <row r="13" spans="1:10" ht="24" customHeight="1" x14ac:dyDescent="0.15">
      <c r="A13" s="135" t="s">
        <v>179</v>
      </c>
      <c r="B13" s="93"/>
      <c r="C13" s="148">
        <f>G27+G28+G30+G31+G33+G35</f>
        <v>0</v>
      </c>
      <c r="D13" s="93"/>
      <c r="E13" s="132" t="s">
        <v>180</v>
      </c>
      <c r="F13" s="93"/>
      <c r="G13" s="138">
        <f>ROUNDDOWN(C13*事務所用②料率と日当!$C$15,0)</f>
        <v>0</v>
      </c>
      <c r="H13" s="93"/>
    </row>
    <row r="14" spans="1:10" ht="30" customHeight="1" x14ac:dyDescent="0.15">
      <c r="A14" s="140" t="s">
        <v>181</v>
      </c>
      <c r="B14" s="93"/>
      <c r="C14" s="131">
        <f>C13+G13</f>
        <v>0</v>
      </c>
      <c r="D14" s="93"/>
      <c r="E14" s="132" t="s">
        <v>182</v>
      </c>
      <c r="F14" s="93"/>
      <c r="G14" s="141">
        <f>事務所用②料率と日当!$C$15</f>
        <v>0.1</v>
      </c>
      <c r="H14" s="93"/>
    </row>
    <row r="16" spans="1:10" ht="17.25" x14ac:dyDescent="0.15">
      <c r="A16" s="137" t="s">
        <v>183</v>
      </c>
      <c r="B16" s="84"/>
      <c r="C16" s="84"/>
      <c r="D16" s="84"/>
      <c r="E16" s="84"/>
      <c r="F16" s="84"/>
      <c r="G16" s="84"/>
      <c r="H16" s="84"/>
    </row>
    <row r="17" spans="1:8" ht="17.25" x14ac:dyDescent="0.15">
      <c r="A17" s="135" t="s">
        <v>184</v>
      </c>
      <c r="B17" s="93"/>
      <c r="C17" s="93"/>
      <c r="D17" s="93"/>
      <c r="E17" s="93"/>
      <c r="F17" s="93"/>
      <c r="G17" s="135" t="s">
        <v>185</v>
      </c>
      <c r="H17" s="93"/>
    </row>
    <row r="18" spans="1:8" ht="16.5" x14ac:dyDescent="0.15">
      <c r="A18" s="133" t="s">
        <v>155</v>
      </c>
      <c r="B18" s="93"/>
      <c r="C18" s="93"/>
      <c r="D18" s="93"/>
      <c r="E18" s="93"/>
      <c r="F18" s="93"/>
      <c r="G18" s="122">
        <f>G27</f>
        <v>0</v>
      </c>
      <c r="H18" s="93"/>
    </row>
    <row r="19" spans="1:8" ht="16.5" x14ac:dyDescent="0.15">
      <c r="A19" s="133" t="s">
        <v>186</v>
      </c>
      <c r="B19" s="93"/>
      <c r="C19" s="93"/>
      <c r="D19" s="93"/>
      <c r="E19" s="93"/>
      <c r="F19" s="93"/>
      <c r="G19" s="122">
        <f>G28</f>
        <v>0</v>
      </c>
      <c r="H19" s="93"/>
    </row>
    <row r="20" spans="1:8" ht="16.5" x14ac:dyDescent="0.15">
      <c r="A20" s="133" t="s">
        <v>187</v>
      </c>
      <c r="B20" s="93"/>
      <c r="C20" s="93"/>
      <c r="D20" s="93"/>
      <c r="E20" s="93"/>
      <c r="F20" s="93"/>
      <c r="G20" s="122">
        <f>G30+G31+G33</f>
        <v>0</v>
      </c>
      <c r="H20" s="93"/>
    </row>
    <row r="21" spans="1:8" ht="16.5" x14ac:dyDescent="0.15">
      <c r="A21" s="133" t="s">
        <v>188</v>
      </c>
      <c r="B21" s="93"/>
      <c r="C21" s="93"/>
      <c r="D21" s="93"/>
      <c r="E21" s="93"/>
      <c r="F21" s="93"/>
      <c r="G21" s="122">
        <f>G35</f>
        <v>0</v>
      </c>
      <c r="H21" s="93"/>
    </row>
    <row r="22" spans="1:8" ht="16.5" x14ac:dyDescent="0.15">
      <c r="A22" s="133"/>
      <c r="B22" s="93"/>
      <c r="C22" s="93"/>
      <c r="D22" s="93"/>
      <c r="E22" s="93"/>
      <c r="F22" s="93"/>
      <c r="G22" s="122"/>
      <c r="H22" s="93"/>
    </row>
    <row r="24" spans="1:8" ht="20.100000000000001" customHeight="1" x14ac:dyDescent="0.15">
      <c r="A24" s="142" t="s">
        <v>189</v>
      </c>
      <c r="B24" s="84"/>
      <c r="C24" s="84"/>
      <c r="D24" s="84"/>
      <c r="E24" s="84"/>
      <c r="F24" s="84"/>
      <c r="G24" s="84"/>
      <c r="H24" s="84"/>
    </row>
    <row r="25" spans="1:8" ht="20.100000000000001" customHeight="1" x14ac:dyDescent="0.15">
      <c r="A25" s="84"/>
      <c r="B25" s="84"/>
      <c r="C25" s="84"/>
      <c r="D25" s="84"/>
      <c r="E25" s="84"/>
      <c r="F25" s="84"/>
      <c r="G25" s="84"/>
      <c r="H25" s="84"/>
    </row>
    <row r="26" spans="1:8" ht="17.25" x14ac:dyDescent="0.15">
      <c r="A26" s="135" t="s">
        <v>184</v>
      </c>
      <c r="B26" s="93"/>
      <c r="C26" s="93"/>
      <c r="D26" s="93"/>
      <c r="E26" s="93"/>
      <c r="F26" s="93"/>
      <c r="G26" s="135" t="s">
        <v>185</v>
      </c>
      <c r="H26" s="93"/>
    </row>
    <row r="27" spans="1:8" ht="21.95" customHeight="1" x14ac:dyDescent="0.15">
      <c r="A27" s="128" t="s">
        <v>155</v>
      </c>
      <c r="B27" s="93"/>
      <c r="C27" s="93"/>
      <c r="D27" s="93"/>
      <c r="E27" s="93"/>
      <c r="F27" s="93"/>
      <c r="G27" s="129">
        <f>ROUND(かんたん入力!$F$42,0)</f>
        <v>0</v>
      </c>
      <c r="H27" s="93"/>
    </row>
    <row r="28" spans="1:8" ht="21.95" customHeight="1" x14ac:dyDescent="0.15">
      <c r="A28" s="128" t="s">
        <v>190</v>
      </c>
      <c r="B28" s="93"/>
      <c r="C28" s="93"/>
      <c r="D28" s="93"/>
      <c r="E28" s="93"/>
      <c r="F28" s="93"/>
      <c r="G28" s="129">
        <f>ROUND(かんたん入力!$F$63,0)</f>
        <v>0</v>
      </c>
      <c r="H28" s="93"/>
    </row>
    <row r="29" spans="1:8" ht="21.95" customHeight="1" x14ac:dyDescent="0.15">
      <c r="A29" s="130" t="s">
        <v>191</v>
      </c>
      <c r="B29" s="84"/>
      <c r="C29" s="84"/>
      <c r="D29" s="84"/>
      <c r="E29" s="84"/>
      <c r="F29" s="84"/>
      <c r="G29" s="84"/>
      <c r="H29" s="84"/>
    </row>
    <row r="30" spans="1:8" ht="21.95" customHeight="1" x14ac:dyDescent="0.15">
      <c r="A30" s="128" t="str">
        <f>IF(かんたん入力!$C$68="いいえ","法定福利費相当額（一人親方の建設国保・国民年金）","法定福利費（事業主負担分）")</f>
        <v>法定福利費（事業主負担分）</v>
      </c>
      <c r="B30" s="93"/>
      <c r="C30" s="93"/>
      <c r="D30" s="93"/>
      <c r="E30" s="93"/>
      <c r="F30" s="93"/>
      <c r="G30" s="129">
        <f>事務所用①くわしい設定!$B$70</f>
        <v>0</v>
      </c>
      <c r="H30" s="93"/>
    </row>
    <row r="31" spans="1:8" ht="21.95" customHeight="1" x14ac:dyDescent="0.15">
      <c r="A31" s="128" t="s">
        <v>192</v>
      </c>
      <c r="B31" s="93"/>
      <c r="C31" s="93"/>
      <c r="D31" s="93"/>
      <c r="E31" s="93"/>
      <c r="F31" s="93"/>
      <c r="G31" s="129">
        <f>事務所用①くわしい設定!$B$21</f>
        <v>0</v>
      </c>
      <c r="H31" s="93"/>
    </row>
    <row r="32" spans="1:8" ht="21.95" customHeight="1" x14ac:dyDescent="0.15">
      <c r="A32" s="130" t="s">
        <v>193</v>
      </c>
      <c r="B32" s="84"/>
      <c r="C32" s="84"/>
      <c r="D32" s="84"/>
      <c r="E32" s="84"/>
      <c r="F32" s="84"/>
      <c r="G32" s="84"/>
      <c r="H32" s="84"/>
    </row>
    <row r="33" spans="1:8" ht="21.95" customHeight="1" x14ac:dyDescent="0.15">
      <c r="A33" s="128" t="s">
        <v>194</v>
      </c>
      <c r="B33" s="93"/>
      <c r="C33" s="93"/>
      <c r="D33" s="93"/>
      <c r="E33" s="93"/>
      <c r="F33" s="93"/>
      <c r="G33" s="129">
        <f>ROUND(事務所用①くわしい設定!$B$28,0)</f>
        <v>0</v>
      </c>
      <c r="H33" s="93"/>
    </row>
    <row r="34" spans="1:8" ht="21.95" customHeight="1" x14ac:dyDescent="0.15">
      <c r="A34" s="130" t="s">
        <v>195</v>
      </c>
      <c r="B34" s="84"/>
      <c r="C34" s="84"/>
      <c r="D34" s="84"/>
      <c r="E34" s="84"/>
      <c r="F34" s="84"/>
      <c r="G34" s="84"/>
      <c r="H34" s="84"/>
    </row>
    <row r="35" spans="1:8" ht="30" customHeight="1" x14ac:dyDescent="0.15">
      <c r="A35" s="128" t="s">
        <v>196</v>
      </c>
      <c r="B35" s="93"/>
      <c r="C35" s="93"/>
      <c r="D35" s="93"/>
      <c r="E35" s="93"/>
      <c r="F35" s="93"/>
      <c r="G35" s="129">
        <f>ROUND(かんたん入力!$F$109,0)</f>
        <v>0</v>
      </c>
      <c r="H35" s="93"/>
    </row>
    <row r="37" spans="1:8" x14ac:dyDescent="0.15">
      <c r="A37" s="136" t="s">
        <v>197</v>
      </c>
      <c r="B37" s="84"/>
      <c r="C37" s="84"/>
      <c r="D37" s="84"/>
      <c r="E37" s="84"/>
      <c r="F37" s="84"/>
      <c r="G37" s="84"/>
      <c r="H37" s="84"/>
    </row>
    <row r="38" spans="1:8" x14ac:dyDescent="0.15">
      <c r="A38" s="84"/>
      <c r="B38" s="84"/>
      <c r="C38" s="84"/>
      <c r="D38" s="84"/>
      <c r="E38" s="84"/>
      <c r="F38" s="84"/>
      <c r="G38" s="84"/>
      <c r="H38" s="84"/>
    </row>
    <row r="39" spans="1:8" x14ac:dyDescent="0.15">
      <c r="A39" s="84"/>
      <c r="B39" s="84"/>
      <c r="C39" s="84"/>
      <c r="D39" s="84"/>
      <c r="E39" s="84"/>
      <c r="F39" s="84"/>
      <c r="G39" s="84"/>
      <c r="H39" s="84"/>
    </row>
    <row r="40" spans="1:8" x14ac:dyDescent="0.15">
      <c r="A40" s="136" t="s">
        <v>198</v>
      </c>
      <c r="B40" s="84"/>
      <c r="C40" s="84"/>
      <c r="D40" s="84"/>
      <c r="E40" s="84"/>
      <c r="F40" s="84"/>
      <c r="G40" s="84"/>
      <c r="H40" s="84"/>
    </row>
    <row r="41" spans="1:8" x14ac:dyDescent="0.15">
      <c r="A41" s="84"/>
      <c r="B41" s="84"/>
      <c r="C41" s="84"/>
      <c r="D41" s="84"/>
      <c r="E41" s="84"/>
      <c r="F41" s="84"/>
      <c r="G41" s="84"/>
      <c r="H41" s="84"/>
    </row>
    <row r="42" spans="1:8" x14ac:dyDescent="0.15">
      <c r="A42" s="84"/>
      <c r="B42" s="84"/>
      <c r="C42" s="84"/>
      <c r="D42" s="84"/>
      <c r="E42" s="84"/>
      <c r="F42" s="84"/>
      <c r="G42" s="84"/>
      <c r="H42" s="84"/>
    </row>
    <row r="44" spans="1:8" ht="16.5" x14ac:dyDescent="0.15">
      <c r="A44" s="47" t="s">
        <v>199</v>
      </c>
    </row>
    <row r="45" spans="1:8" ht="18.95" customHeight="1" x14ac:dyDescent="0.15">
      <c r="A45" s="145" t="str">
        <f>IF(かんたん入力!$A$121="○","・"&amp;かんたん入力!$B$121&amp;CHAR(10),"")&amp;IF(かんたん入力!$A$122="○","・"&amp;かんたん入力!$B$122&amp;CHAR(10),"")&amp;IF(かんたん入力!$A$123="○","・"&amp;かんたん入力!$B$123&amp;CHAR(10),"")&amp;IF(かんたん入力!$A$124="○","・"&amp;かんたん入力!$B$124&amp;CHAR(10),"")&amp;IF(かんたん入力!$B$125="","","・"&amp;かんたん入力!$B$125)</f>
        <v xml:space="preserve">・材料の値段は見積日時点のものです。値上がりした場合は、金額の見直しについてご相談させてください。
・悪天候・現場の都合による工期の延長や、時間外・休日の作業は、別途ご精算をお願いいたします。
・追加・変更の工事が出た場合は、あらためてお見積りし、書面で契約させてください。
・本見積書は、第三次担い手3法（2025年12月施行）および国土交通省「労務費に関する基準」をふまえて作成しています。
</v>
      </c>
      <c r="B45" s="93"/>
      <c r="C45" s="93"/>
      <c r="D45" s="93"/>
      <c r="E45" s="93"/>
      <c r="F45" s="93"/>
      <c r="G45" s="93"/>
      <c r="H45" s="93"/>
    </row>
    <row r="46" spans="1:8" ht="18.95" customHeight="1" x14ac:dyDescent="0.15">
      <c r="A46" s="93"/>
      <c r="B46" s="93"/>
      <c r="C46" s="93"/>
      <c r="D46" s="93"/>
      <c r="E46" s="93"/>
      <c r="F46" s="93"/>
      <c r="G46" s="93"/>
      <c r="H46" s="93"/>
    </row>
    <row r="47" spans="1:8" ht="18.95" customHeight="1" x14ac:dyDescent="0.15">
      <c r="A47" s="93"/>
      <c r="B47" s="93"/>
      <c r="C47" s="93"/>
      <c r="D47" s="93"/>
      <c r="E47" s="93"/>
      <c r="F47" s="93"/>
      <c r="G47" s="93"/>
      <c r="H47" s="93"/>
    </row>
    <row r="48" spans="1:8" ht="18.95" customHeight="1" x14ac:dyDescent="0.15">
      <c r="A48" s="93"/>
      <c r="B48" s="93"/>
      <c r="C48" s="93"/>
      <c r="D48" s="93"/>
      <c r="E48" s="93"/>
      <c r="F48" s="93"/>
      <c r="G48" s="93"/>
      <c r="H48" s="93"/>
    </row>
    <row r="49" spans="1:8" ht="18.95" customHeight="1" x14ac:dyDescent="0.15">
      <c r="A49" s="93"/>
      <c r="B49" s="93"/>
      <c r="C49" s="93"/>
      <c r="D49" s="93"/>
      <c r="E49" s="93"/>
      <c r="F49" s="93"/>
      <c r="G49" s="93"/>
      <c r="H49" s="93"/>
    </row>
    <row r="51" spans="1:8" ht="17.25" x14ac:dyDescent="0.15">
      <c r="A51" s="127" t="s">
        <v>200</v>
      </c>
      <c r="B51" s="84"/>
      <c r="C51" s="84"/>
      <c r="D51" s="84"/>
      <c r="E51" s="84"/>
      <c r="F51" s="84"/>
      <c r="G51" s="84"/>
      <c r="H51" s="84"/>
    </row>
  </sheetData>
  <sheetProtection sheet="1" formatCells="0" formatColumns="0" formatRows="0"/>
  <mergeCells count="61">
    <mergeCell ref="A45:H49"/>
    <mergeCell ref="A3:D3"/>
    <mergeCell ref="A13:B13"/>
    <mergeCell ref="G31:H31"/>
    <mergeCell ref="C13:D13"/>
    <mergeCell ref="F7:H7"/>
    <mergeCell ref="G9:H9"/>
    <mergeCell ref="A34:H34"/>
    <mergeCell ref="A30:F30"/>
    <mergeCell ref="A32:H32"/>
    <mergeCell ref="G26:H26"/>
    <mergeCell ref="A24:H25"/>
    <mergeCell ref="G35:H35"/>
    <mergeCell ref="A29:H29"/>
    <mergeCell ref="A1:H1"/>
    <mergeCell ref="A26:F26"/>
    <mergeCell ref="A21:F21"/>
    <mergeCell ref="A40:H42"/>
    <mergeCell ref="G17:H17"/>
    <mergeCell ref="B10:D10"/>
    <mergeCell ref="A33:F33"/>
    <mergeCell ref="G22:H22"/>
    <mergeCell ref="A16:H16"/>
    <mergeCell ref="G19:H19"/>
    <mergeCell ref="B9:D9"/>
    <mergeCell ref="A22:F22"/>
    <mergeCell ref="E13:F13"/>
    <mergeCell ref="A17:F17"/>
    <mergeCell ref="G28:H28"/>
    <mergeCell ref="G13:H13"/>
    <mergeCell ref="A51:H51"/>
    <mergeCell ref="A27:F27"/>
    <mergeCell ref="G27:H27"/>
    <mergeCell ref="F8:H8"/>
    <mergeCell ref="C14:D14"/>
    <mergeCell ref="E14:F14"/>
    <mergeCell ref="A18:F18"/>
    <mergeCell ref="A20:F20"/>
    <mergeCell ref="G18:H18"/>
    <mergeCell ref="A35:F35"/>
    <mergeCell ref="A28:F28"/>
    <mergeCell ref="A19:F19"/>
    <mergeCell ref="G30:H30"/>
    <mergeCell ref="G33:H33"/>
    <mergeCell ref="A37:H39"/>
    <mergeCell ref="A31:F31"/>
    <mergeCell ref="B11:D11"/>
    <mergeCell ref="G21:H21"/>
    <mergeCell ref="F5:H5"/>
    <mergeCell ref="G2:H2"/>
    <mergeCell ref="A4:D4"/>
    <mergeCell ref="B8:D8"/>
    <mergeCell ref="B6:D6"/>
    <mergeCell ref="G3:H3"/>
    <mergeCell ref="B5:D5"/>
    <mergeCell ref="A14:B14"/>
    <mergeCell ref="G14:H14"/>
    <mergeCell ref="F10:H10"/>
    <mergeCell ref="G20:H20"/>
    <mergeCell ref="F6:H6"/>
    <mergeCell ref="A2:D2"/>
  </mergeCells>
  <phoneticPr fontId="51"/>
  <printOptions horizontalCentered="1"/>
  <pageMargins left="0.4" right="0.4" top="0.5" bottom="0.5"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6A6A6"/>
    <pageSetUpPr fitToPage="1"/>
  </sheetPr>
  <dimension ref="A1:J75"/>
  <sheetViews>
    <sheetView zoomScale="85" zoomScaleNormal="85" workbookViewId="0">
      <selection activeCell="C10" sqref="C10"/>
    </sheetView>
  </sheetViews>
  <sheetFormatPr defaultRowHeight="13.5" x14ac:dyDescent="0.15"/>
  <cols>
    <col min="1" max="1" width="30" customWidth="1"/>
    <col min="2" max="2" width="14" customWidth="1"/>
    <col min="3" max="3" width="13" customWidth="1"/>
    <col min="4" max="4" width="14" customWidth="1"/>
    <col min="5" max="5" width="12" customWidth="1"/>
    <col min="6" max="6" width="15" customWidth="1"/>
    <col min="7" max="8" width="13" customWidth="1"/>
    <col min="9" max="9" width="12" customWidth="1"/>
    <col min="10" max="10" width="40" customWidth="1"/>
  </cols>
  <sheetData>
    <row r="1" spans="1:10" ht="26.1" customHeight="1" x14ac:dyDescent="0.5">
      <c r="A1" s="48" t="s">
        <v>201</v>
      </c>
    </row>
    <row r="2" spans="1:10" ht="17.25" x14ac:dyDescent="0.15">
      <c r="A2" s="49" t="s">
        <v>202</v>
      </c>
    </row>
    <row r="3" spans="1:10" ht="16.5" x14ac:dyDescent="0.35">
      <c r="A3" s="50" t="s">
        <v>203</v>
      </c>
    </row>
    <row r="5" spans="1:10" ht="17.25" x14ac:dyDescent="0.15">
      <c r="A5" s="46" t="s">
        <v>204</v>
      </c>
    </row>
    <row r="6" spans="1:10" ht="17.25" x14ac:dyDescent="0.15">
      <c r="A6" s="51" t="s">
        <v>205</v>
      </c>
      <c r="B6" s="52">
        <f>かんたん入力!$F$63</f>
        <v>0</v>
      </c>
      <c r="C6" s="53" t="s">
        <v>206</v>
      </c>
      <c r="D6" s="54" t="str">
        <f>IF(かんたん入力!$C$68="いいえ","一人親方",かんたん入力!$C$70)</f>
        <v>はい</v>
      </c>
      <c r="E6" s="42" t="s">
        <v>207</v>
      </c>
    </row>
    <row r="8" spans="1:10" ht="36" customHeight="1" x14ac:dyDescent="0.15">
      <c r="A8" s="55" t="s">
        <v>208</v>
      </c>
      <c r="B8" s="55" t="s">
        <v>209</v>
      </c>
      <c r="C8" s="55" t="s">
        <v>210</v>
      </c>
      <c r="D8" s="55" t="s">
        <v>211</v>
      </c>
      <c r="E8" s="55" t="s">
        <v>212</v>
      </c>
      <c r="F8" s="55" t="s">
        <v>116</v>
      </c>
      <c r="J8" s="55" t="s">
        <v>213</v>
      </c>
    </row>
    <row r="9" spans="1:10" ht="30" customHeight="1" x14ac:dyDescent="0.15">
      <c r="A9" s="56" t="s">
        <v>214</v>
      </c>
      <c r="B9" s="57" t="s">
        <v>145</v>
      </c>
      <c r="C9" s="58">
        <f>事務所用②料率と日当!$C$6</f>
        <v>1.0500000000000001E-2</v>
      </c>
      <c r="D9" s="59"/>
      <c r="E9" s="58">
        <f t="shared" ref="E9:E14" si="0">IF(D9&lt;&gt;"",D9,C9)</f>
        <v>1.0500000000000001E-2</v>
      </c>
      <c r="F9" s="60">
        <f t="shared" ref="F9:F14" si="1">IF(AND($D$6="はい",B9="○"),$B$6*E9,0)</f>
        <v>0</v>
      </c>
      <c r="J9" s="38" t="s">
        <v>215</v>
      </c>
    </row>
    <row r="10" spans="1:10" ht="30" customHeight="1" x14ac:dyDescent="0.15">
      <c r="A10" s="56" t="s">
        <v>216</v>
      </c>
      <c r="B10" s="57" t="s">
        <v>145</v>
      </c>
      <c r="C10" s="58">
        <f>事務所用②料率と日当!$C$7</f>
        <v>4.8349999999999997E-2</v>
      </c>
      <c r="D10" s="59"/>
      <c r="E10" s="58">
        <f t="shared" si="0"/>
        <v>4.8349999999999997E-2</v>
      </c>
      <c r="F10" s="60">
        <f t="shared" si="1"/>
        <v>0</v>
      </c>
      <c r="J10" s="38" t="s">
        <v>217</v>
      </c>
    </row>
    <row r="11" spans="1:10" ht="30" customHeight="1" x14ac:dyDescent="0.15">
      <c r="A11" s="56" t="s">
        <v>218</v>
      </c>
      <c r="B11" s="57" t="s">
        <v>145</v>
      </c>
      <c r="C11" s="58">
        <f>事務所用②料率と日当!$C$8</f>
        <v>8.0999999999999996E-3</v>
      </c>
      <c r="D11" s="59"/>
      <c r="E11" s="58">
        <f t="shared" si="0"/>
        <v>8.0999999999999996E-3</v>
      </c>
      <c r="F11" s="60">
        <f t="shared" si="1"/>
        <v>0</v>
      </c>
      <c r="J11" s="38" t="s">
        <v>219</v>
      </c>
    </row>
    <row r="12" spans="1:10" ht="30" customHeight="1" x14ac:dyDescent="0.15">
      <c r="A12" s="56" t="s">
        <v>220</v>
      </c>
      <c r="B12" s="57" t="s">
        <v>145</v>
      </c>
      <c r="C12" s="58">
        <f>事務所用②料率と日当!$C$9</f>
        <v>9.1499999999999998E-2</v>
      </c>
      <c r="D12" s="59"/>
      <c r="E12" s="58">
        <f t="shared" si="0"/>
        <v>9.1499999999999998E-2</v>
      </c>
      <c r="F12" s="60">
        <f t="shared" si="1"/>
        <v>0</v>
      </c>
      <c r="J12" s="38" t="s">
        <v>221</v>
      </c>
    </row>
    <row r="13" spans="1:10" ht="30" customHeight="1" x14ac:dyDescent="0.15">
      <c r="A13" s="56" t="s">
        <v>222</v>
      </c>
      <c r="B13" s="57" t="s">
        <v>145</v>
      </c>
      <c r="C13" s="58">
        <f>事務所用②料率と日当!$C$10</f>
        <v>3.5999999999999999E-3</v>
      </c>
      <c r="D13" s="59"/>
      <c r="E13" s="58">
        <f t="shared" si="0"/>
        <v>3.5999999999999999E-3</v>
      </c>
      <c r="F13" s="60">
        <f t="shared" si="1"/>
        <v>0</v>
      </c>
      <c r="J13" s="38" t="s">
        <v>223</v>
      </c>
    </row>
    <row r="14" spans="1:10" ht="30" customHeight="1" x14ac:dyDescent="0.15">
      <c r="A14" s="56" t="s">
        <v>224</v>
      </c>
      <c r="B14" s="57" t="s">
        <v>225</v>
      </c>
      <c r="C14" s="58">
        <f>事務所用②料率と日当!$C$11</f>
        <v>1.15E-3</v>
      </c>
      <c r="D14" s="59"/>
      <c r="E14" s="58">
        <f t="shared" si="0"/>
        <v>1.15E-3</v>
      </c>
      <c r="F14" s="60">
        <f t="shared" si="1"/>
        <v>0</v>
      </c>
      <c r="J14" s="38" t="s">
        <v>226</v>
      </c>
    </row>
    <row r="15" spans="1:10" ht="17.25" x14ac:dyDescent="0.15">
      <c r="E15" s="61" t="s">
        <v>227</v>
      </c>
      <c r="F15" s="52">
        <f>ROUNDDOWN(SUM(F9:F14),0)</f>
        <v>0</v>
      </c>
      <c r="G15" s="42" t="s">
        <v>228</v>
      </c>
    </row>
    <row r="17" spans="1:10" ht="17.25" x14ac:dyDescent="0.15">
      <c r="A17" s="46" t="s">
        <v>229</v>
      </c>
    </row>
    <row r="18" spans="1:10" ht="17.25" x14ac:dyDescent="0.15">
      <c r="A18" s="56" t="s">
        <v>230</v>
      </c>
      <c r="B18" s="60">
        <f>事務所用②料率と日当!$C$14</f>
        <v>320</v>
      </c>
    </row>
    <row r="19" spans="1:10" ht="17.25" x14ac:dyDescent="0.15">
      <c r="A19" s="56" t="s">
        <v>231</v>
      </c>
      <c r="B19" s="62">
        <f>かんたん入力!$F$62</f>
        <v>0</v>
      </c>
    </row>
    <row r="20" spans="1:10" ht="17.25" x14ac:dyDescent="0.15">
      <c r="A20" s="56" t="s">
        <v>232</v>
      </c>
      <c r="B20" s="63"/>
    </row>
    <row r="21" spans="1:10" ht="17.25" x14ac:dyDescent="0.15">
      <c r="A21" s="51" t="s">
        <v>233</v>
      </c>
      <c r="B21" s="52">
        <f>IF(OR(かんたん入力!$C$78&lt;&gt;"はい",かんたん入力!$C$79="はい"),0,ROUND(B18*IF(B20&lt;&gt;"",B20,B19),-2))</f>
        <v>0</v>
      </c>
      <c r="C21" s="42" t="s">
        <v>234</v>
      </c>
    </row>
    <row r="23" spans="1:10" ht="17.25" x14ac:dyDescent="0.15">
      <c r="A23" s="46" t="s">
        <v>235</v>
      </c>
    </row>
    <row r="24" spans="1:10" ht="17.25" x14ac:dyDescent="0.15">
      <c r="A24" s="56" t="s">
        <v>236</v>
      </c>
      <c r="B24" s="155" t="s">
        <v>237</v>
      </c>
      <c r="C24" s="156"/>
    </row>
    <row r="25" spans="1:10" ht="17.25" x14ac:dyDescent="0.15">
      <c r="A25" s="56" t="s">
        <v>238</v>
      </c>
      <c r="B25" s="60">
        <f>SUM(かんたん入力!F86:F95)</f>
        <v>0</v>
      </c>
    </row>
    <row r="26" spans="1:10" ht="17.25" x14ac:dyDescent="0.15">
      <c r="A26" s="56" t="s">
        <v>239</v>
      </c>
      <c r="B26" s="64"/>
      <c r="C26" s="60">
        <f>$B$6*N(B26)</f>
        <v>0</v>
      </c>
    </row>
    <row r="27" spans="1:10" ht="17.25" x14ac:dyDescent="0.15">
      <c r="A27" s="56" t="s">
        <v>240</v>
      </c>
      <c r="B27" s="157"/>
      <c r="C27" s="158"/>
      <c r="D27" s="158"/>
      <c r="E27" s="158"/>
      <c r="F27" s="156"/>
    </row>
    <row r="28" spans="1:10" ht="17.25" x14ac:dyDescent="0.15">
      <c r="A28" s="51" t="s">
        <v>241</v>
      </c>
      <c r="B28" s="52">
        <f>IF(B24="①積み上げのみ",B25,IF(B24="②経費率のみ",C26,B25+C26))</f>
        <v>0</v>
      </c>
    </row>
    <row r="30" spans="1:10" ht="17.25" x14ac:dyDescent="0.15">
      <c r="A30" s="46" t="s">
        <v>242</v>
      </c>
    </row>
    <row r="31" spans="1:10" ht="36" customHeight="1" x14ac:dyDescent="0.15">
      <c r="A31" s="55" t="s">
        <v>243</v>
      </c>
      <c r="B31" s="55" t="s">
        <v>244</v>
      </c>
      <c r="C31" s="55" t="s">
        <v>245</v>
      </c>
      <c r="D31" s="55" t="s">
        <v>246</v>
      </c>
      <c r="E31" s="55" t="s">
        <v>247</v>
      </c>
      <c r="F31" s="55" t="s">
        <v>248</v>
      </c>
      <c r="G31" s="55" t="s">
        <v>249</v>
      </c>
      <c r="H31" s="55" t="s">
        <v>116</v>
      </c>
      <c r="I31" s="55" t="s">
        <v>250</v>
      </c>
      <c r="J31" s="55" t="s">
        <v>251</v>
      </c>
    </row>
    <row r="32" spans="1:10" ht="17.25" x14ac:dyDescent="0.15">
      <c r="A32" s="65"/>
      <c r="B32" s="65"/>
      <c r="C32" s="66"/>
      <c r="D32" s="57"/>
      <c r="E32" s="67"/>
      <c r="F32" s="68"/>
      <c r="G32" s="60" t="str">
        <f t="shared" ref="G32:G51" si="2">IF(B32="",IF(F32&lt;&gt;"",F32,""),IF(F32&lt;&gt;"",F32,IFERROR(INDEX(日当表C,MATCH(B32,日当表F,0)),IFERROR(INDEX(日当表C,MATCH(B32,正式職種,0)),0))))</f>
        <v/>
      </c>
      <c r="H32" s="60" t="str">
        <f t="shared" ref="H32:H51" si="3">IF(COUNTA(A32:F32)=0,"",IF(AND(ISNUMBER(C32),ISNUMBER(E32),IF(ISNUMBER(G32),G32,0)&gt;0),C32*E32*G32,"要確認"))</f>
        <v/>
      </c>
      <c r="I32" s="69" t="str">
        <f t="shared" ref="I32:I51" si="4">IF(ISNUMBER(H32),C32*E32,"")</f>
        <v/>
      </c>
      <c r="J32" s="65"/>
    </row>
    <row r="33" spans="1:10" ht="17.25" x14ac:dyDescent="0.15">
      <c r="A33" s="65"/>
      <c r="B33" s="65"/>
      <c r="C33" s="66"/>
      <c r="D33" s="57"/>
      <c r="E33" s="67"/>
      <c r="F33" s="68"/>
      <c r="G33" s="60" t="str">
        <f t="shared" si="2"/>
        <v/>
      </c>
      <c r="H33" s="60" t="str">
        <f t="shared" si="3"/>
        <v/>
      </c>
      <c r="I33" s="69" t="str">
        <f t="shared" si="4"/>
        <v/>
      </c>
      <c r="J33" s="65"/>
    </row>
    <row r="34" spans="1:10" ht="17.25" x14ac:dyDescent="0.15">
      <c r="A34" s="65"/>
      <c r="B34" s="65"/>
      <c r="C34" s="66"/>
      <c r="D34" s="57"/>
      <c r="E34" s="67"/>
      <c r="F34" s="68"/>
      <c r="G34" s="60" t="str">
        <f t="shared" si="2"/>
        <v/>
      </c>
      <c r="H34" s="60" t="str">
        <f t="shared" si="3"/>
        <v/>
      </c>
      <c r="I34" s="69" t="str">
        <f t="shared" si="4"/>
        <v/>
      </c>
      <c r="J34" s="65"/>
    </row>
    <row r="35" spans="1:10" ht="17.25" x14ac:dyDescent="0.15">
      <c r="A35" s="65"/>
      <c r="B35" s="65"/>
      <c r="C35" s="66"/>
      <c r="D35" s="57"/>
      <c r="E35" s="67"/>
      <c r="F35" s="68"/>
      <c r="G35" s="60" t="str">
        <f t="shared" si="2"/>
        <v/>
      </c>
      <c r="H35" s="60" t="str">
        <f t="shared" si="3"/>
        <v/>
      </c>
      <c r="I35" s="69" t="str">
        <f t="shared" si="4"/>
        <v/>
      </c>
      <c r="J35" s="65"/>
    </row>
    <row r="36" spans="1:10" ht="17.25" x14ac:dyDescent="0.15">
      <c r="A36" s="65"/>
      <c r="B36" s="65"/>
      <c r="C36" s="66"/>
      <c r="D36" s="57"/>
      <c r="E36" s="67"/>
      <c r="F36" s="68"/>
      <c r="G36" s="60" t="str">
        <f t="shared" si="2"/>
        <v/>
      </c>
      <c r="H36" s="60" t="str">
        <f t="shared" si="3"/>
        <v/>
      </c>
      <c r="I36" s="69" t="str">
        <f t="shared" si="4"/>
        <v/>
      </c>
      <c r="J36" s="65"/>
    </row>
    <row r="37" spans="1:10" ht="17.25" x14ac:dyDescent="0.15">
      <c r="A37" s="65"/>
      <c r="B37" s="65"/>
      <c r="C37" s="66"/>
      <c r="D37" s="57"/>
      <c r="E37" s="67"/>
      <c r="F37" s="68"/>
      <c r="G37" s="60" t="str">
        <f t="shared" si="2"/>
        <v/>
      </c>
      <c r="H37" s="60" t="str">
        <f t="shared" si="3"/>
        <v/>
      </c>
      <c r="I37" s="69" t="str">
        <f t="shared" si="4"/>
        <v/>
      </c>
      <c r="J37" s="65"/>
    </row>
    <row r="38" spans="1:10" ht="17.25" x14ac:dyDescent="0.15">
      <c r="A38" s="65"/>
      <c r="B38" s="65"/>
      <c r="C38" s="66"/>
      <c r="D38" s="57"/>
      <c r="E38" s="67"/>
      <c r="F38" s="68"/>
      <c r="G38" s="60" t="str">
        <f t="shared" si="2"/>
        <v/>
      </c>
      <c r="H38" s="60" t="str">
        <f t="shared" si="3"/>
        <v/>
      </c>
      <c r="I38" s="69" t="str">
        <f t="shared" si="4"/>
        <v/>
      </c>
      <c r="J38" s="65"/>
    </row>
    <row r="39" spans="1:10" ht="17.25" x14ac:dyDescent="0.15">
      <c r="A39" s="65"/>
      <c r="B39" s="65"/>
      <c r="C39" s="66"/>
      <c r="D39" s="57"/>
      <c r="E39" s="67"/>
      <c r="F39" s="68"/>
      <c r="G39" s="60" t="str">
        <f t="shared" si="2"/>
        <v/>
      </c>
      <c r="H39" s="60" t="str">
        <f t="shared" si="3"/>
        <v/>
      </c>
      <c r="I39" s="69" t="str">
        <f t="shared" si="4"/>
        <v/>
      </c>
      <c r="J39" s="65"/>
    </row>
    <row r="40" spans="1:10" ht="17.25" x14ac:dyDescent="0.15">
      <c r="A40" s="65"/>
      <c r="B40" s="65"/>
      <c r="C40" s="66"/>
      <c r="D40" s="57"/>
      <c r="E40" s="67"/>
      <c r="F40" s="68"/>
      <c r="G40" s="60" t="str">
        <f t="shared" si="2"/>
        <v/>
      </c>
      <c r="H40" s="60" t="str">
        <f t="shared" si="3"/>
        <v/>
      </c>
      <c r="I40" s="69" t="str">
        <f t="shared" si="4"/>
        <v/>
      </c>
      <c r="J40" s="65"/>
    </row>
    <row r="41" spans="1:10" ht="17.25" x14ac:dyDescent="0.15">
      <c r="A41" s="65"/>
      <c r="B41" s="65"/>
      <c r="C41" s="66"/>
      <c r="D41" s="57"/>
      <c r="E41" s="67"/>
      <c r="F41" s="68"/>
      <c r="G41" s="60" t="str">
        <f t="shared" si="2"/>
        <v/>
      </c>
      <c r="H41" s="60" t="str">
        <f t="shared" si="3"/>
        <v/>
      </c>
      <c r="I41" s="69" t="str">
        <f t="shared" si="4"/>
        <v/>
      </c>
      <c r="J41" s="65"/>
    </row>
    <row r="42" spans="1:10" ht="17.25" x14ac:dyDescent="0.15">
      <c r="A42" s="65"/>
      <c r="B42" s="65"/>
      <c r="C42" s="66"/>
      <c r="D42" s="57"/>
      <c r="E42" s="67"/>
      <c r="F42" s="68"/>
      <c r="G42" s="60" t="str">
        <f t="shared" si="2"/>
        <v/>
      </c>
      <c r="H42" s="60" t="str">
        <f t="shared" si="3"/>
        <v/>
      </c>
      <c r="I42" s="69" t="str">
        <f t="shared" si="4"/>
        <v/>
      </c>
      <c r="J42" s="65"/>
    </row>
    <row r="43" spans="1:10" ht="17.25" x14ac:dyDescent="0.15">
      <c r="A43" s="65"/>
      <c r="B43" s="65"/>
      <c r="C43" s="66"/>
      <c r="D43" s="57"/>
      <c r="E43" s="67"/>
      <c r="F43" s="68"/>
      <c r="G43" s="60" t="str">
        <f t="shared" si="2"/>
        <v/>
      </c>
      <c r="H43" s="60" t="str">
        <f t="shared" si="3"/>
        <v/>
      </c>
      <c r="I43" s="69" t="str">
        <f t="shared" si="4"/>
        <v/>
      </c>
      <c r="J43" s="65"/>
    </row>
    <row r="44" spans="1:10" ht="17.25" x14ac:dyDescent="0.15">
      <c r="A44" s="65"/>
      <c r="B44" s="65"/>
      <c r="C44" s="66"/>
      <c r="D44" s="57"/>
      <c r="E44" s="67"/>
      <c r="F44" s="68"/>
      <c r="G44" s="60" t="str">
        <f t="shared" si="2"/>
        <v/>
      </c>
      <c r="H44" s="60" t="str">
        <f t="shared" si="3"/>
        <v/>
      </c>
      <c r="I44" s="69" t="str">
        <f t="shared" si="4"/>
        <v/>
      </c>
      <c r="J44" s="65"/>
    </row>
    <row r="45" spans="1:10" ht="17.25" x14ac:dyDescent="0.15">
      <c r="A45" s="65"/>
      <c r="B45" s="65"/>
      <c r="C45" s="66"/>
      <c r="D45" s="57"/>
      <c r="E45" s="67"/>
      <c r="F45" s="68"/>
      <c r="G45" s="60" t="str">
        <f t="shared" si="2"/>
        <v/>
      </c>
      <c r="H45" s="60" t="str">
        <f t="shared" si="3"/>
        <v/>
      </c>
      <c r="I45" s="69" t="str">
        <f t="shared" si="4"/>
        <v/>
      </c>
      <c r="J45" s="65"/>
    </row>
    <row r="46" spans="1:10" ht="17.25" x14ac:dyDescent="0.15">
      <c r="A46" s="65"/>
      <c r="B46" s="65"/>
      <c r="C46" s="66"/>
      <c r="D46" s="57"/>
      <c r="E46" s="67"/>
      <c r="F46" s="68"/>
      <c r="G46" s="60" t="str">
        <f t="shared" si="2"/>
        <v/>
      </c>
      <c r="H46" s="60" t="str">
        <f t="shared" si="3"/>
        <v/>
      </c>
      <c r="I46" s="69" t="str">
        <f t="shared" si="4"/>
        <v/>
      </c>
      <c r="J46" s="65"/>
    </row>
    <row r="47" spans="1:10" ht="17.25" x14ac:dyDescent="0.15">
      <c r="A47" s="65"/>
      <c r="B47" s="65"/>
      <c r="C47" s="66"/>
      <c r="D47" s="57"/>
      <c r="E47" s="67"/>
      <c r="F47" s="68"/>
      <c r="G47" s="60" t="str">
        <f t="shared" si="2"/>
        <v/>
      </c>
      <c r="H47" s="60" t="str">
        <f t="shared" si="3"/>
        <v/>
      </c>
      <c r="I47" s="69" t="str">
        <f t="shared" si="4"/>
        <v/>
      </c>
      <c r="J47" s="65"/>
    </row>
    <row r="48" spans="1:10" ht="17.25" x14ac:dyDescent="0.15">
      <c r="A48" s="65"/>
      <c r="B48" s="65"/>
      <c r="C48" s="66"/>
      <c r="D48" s="57"/>
      <c r="E48" s="67"/>
      <c r="F48" s="68"/>
      <c r="G48" s="60" t="str">
        <f t="shared" si="2"/>
        <v/>
      </c>
      <c r="H48" s="60" t="str">
        <f t="shared" si="3"/>
        <v/>
      </c>
      <c r="I48" s="69" t="str">
        <f t="shared" si="4"/>
        <v/>
      </c>
      <c r="J48" s="65"/>
    </row>
    <row r="49" spans="1:10" ht="17.25" x14ac:dyDescent="0.15">
      <c r="A49" s="65"/>
      <c r="B49" s="65"/>
      <c r="C49" s="66"/>
      <c r="D49" s="57"/>
      <c r="E49" s="67"/>
      <c r="F49" s="68"/>
      <c r="G49" s="60" t="str">
        <f t="shared" si="2"/>
        <v/>
      </c>
      <c r="H49" s="60" t="str">
        <f t="shared" si="3"/>
        <v/>
      </c>
      <c r="I49" s="69" t="str">
        <f t="shared" si="4"/>
        <v/>
      </c>
      <c r="J49" s="65"/>
    </row>
    <row r="50" spans="1:10" ht="17.25" x14ac:dyDescent="0.15">
      <c r="A50" s="65"/>
      <c r="B50" s="65"/>
      <c r="C50" s="66"/>
      <c r="D50" s="57"/>
      <c r="E50" s="67"/>
      <c r="F50" s="68"/>
      <c r="G50" s="60" t="str">
        <f t="shared" si="2"/>
        <v/>
      </c>
      <c r="H50" s="60" t="str">
        <f t="shared" si="3"/>
        <v/>
      </c>
      <c r="I50" s="69" t="str">
        <f t="shared" si="4"/>
        <v/>
      </c>
      <c r="J50" s="65"/>
    </row>
    <row r="51" spans="1:10" ht="17.25" x14ac:dyDescent="0.15">
      <c r="A51" s="65"/>
      <c r="B51" s="65"/>
      <c r="C51" s="66"/>
      <c r="D51" s="57"/>
      <c r="E51" s="67"/>
      <c r="F51" s="68"/>
      <c r="G51" s="60" t="str">
        <f t="shared" si="2"/>
        <v/>
      </c>
      <c r="H51" s="60" t="str">
        <f t="shared" si="3"/>
        <v/>
      </c>
      <c r="I51" s="69" t="str">
        <f t="shared" si="4"/>
        <v/>
      </c>
      <c r="J51" s="65"/>
    </row>
    <row r="52" spans="1:10" ht="17.25" x14ac:dyDescent="0.15">
      <c r="G52" s="61" t="s">
        <v>227</v>
      </c>
      <c r="H52" s="52">
        <f>SUM(H32:H51)</f>
        <v>0</v>
      </c>
      <c r="I52" s="70">
        <f>SUM(I32:I51)</f>
        <v>0</v>
      </c>
    </row>
    <row r="53" spans="1:10" ht="15.75" x14ac:dyDescent="0.15">
      <c r="A53" s="42" t="s">
        <v>252</v>
      </c>
    </row>
    <row r="55" spans="1:10" ht="17.25" x14ac:dyDescent="0.15">
      <c r="A55" s="46" t="s">
        <v>253</v>
      </c>
    </row>
    <row r="56" spans="1:10" ht="17.25" x14ac:dyDescent="0.15">
      <c r="A56" s="56" t="s">
        <v>254</v>
      </c>
      <c r="B56" s="68"/>
    </row>
    <row r="57" spans="1:10" ht="17.25" x14ac:dyDescent="0.15">
      <c r="A57" s="56" t="s">
        <v>255</v>
      </c>
      <c r="B57" s="68"/>
    </row>
    <row r="58" spans="1:10" ht="17.25" x14ac:dyDescent="0.15">
      <c r="A58" s="56" t="s">
        <v>256</v>
      </c>
      <c r="B58" s="60" t="str">
        <f>IF(AND(N(B56)&gt;0,N(B57)&gt;0),B56/B57,"")</f>
        <v/>
      </c>
    </row>
    <row r="59" spans="1:10" ht="17.25" x14ac:dyDescent="0.15">
      <c r="A59" s="56" t="s">
        <v>257</v>
      </c>
      <c r="B59" s="63"/>
    </row>
    <row r="60" spans="1:10" ht="17.25" x14ac:dyDescent="0.15">
      <c r="A60" s="56" t="s">
        <v>258</v>
      </c>
      <c r="B60" s="60" t="str">
        <f>IF(AND(N(B58)&gt;0,N(B59)&gt;0),B58*B59,"")</f>
        <v/>
      </c>
    </row>
    <row r="62" spans="1:10" ht="17.25" x14ac:dyDescent="0.15">
      <c r="A62" s="46" t="s">
        <v>259</v>
      </c>
    </row>
    <row r="63" spans="1:10" ht="24" customHeight="1" x14ac:dyDescent="0.15">
      <c r="A63" s="71" t="s">
        <v>260</v>
      </c>
      <c r="B63" s="152" t="str">
        <f>IF(かんたん入力!$C$68="いいえ","一人親方として計算","（雇用している事業者なので対象外）")</f>
        <v>（雇用している事業者なので対象外）</v>
      </c>
      <c r="C63" s="153"/>
      <c r="D63" s="154"/>
    </row>
    <row r="64" spans="1:10" ht="24" customHeight="1" x14ac:dyDescent="0.15">
      <c r="A64" s="71" t="s">
        <v>261</v>
      </c>
      <c r="B64" s="60">
        <f>IFERROR(ROUNDDOWN(N(かんたん入力!$C$72)/かんたん入力!$C$74,0),0)</f>
        <v>0</v>
      </c>
      <c r="C64" s="130" t="s">
        <v>262</v>
      </c>
      <c r="D64" s="84"/>
      <c r="E64" s="84"/>
      <c r="F64" s="84"/>
      <c r="G64" s="84"/>
      <c r="H64" s="84"/>
      <c r="I64" s="84"/>
      <c r="J64" s="84"/>
    </row>
    <row r="65" spans="1:10" ht="24" customHeight="1" x14ac:dyDescent="0.15">
      <c r="A65" s="71" t="s">
        <v>263</v>
      </c>
      <c r="B65" s="60">
        <f>IFERROR(ROUNDDOWN(IF(かんたん入力!$C$73="",事務所用②料率と日当!$C$16,かんたん入力!$C$73)/かんたん入力!$C$74,0),0)</f>
        <v>853</v>
      </c>
      <c r="C65" s="84"/>
      <c r="D65" s="84"/>
      <c r="E65" s="84"/>
      <c r="F65" s="84"/>
      <c r="G65" s="84"/>
      <c r="H65" s="84"/>
      <c r="I65" s="84"/>
      <c r="J65" s="84"/>
    </row>
    <row r="66" spans="1:10" ht="24" customHeight="1" x14ac:dyDescent="0.15">
      <c r="A66" s="71" t="s">
        <v>264</v>
      </c>
      <c r="B66" s="62">
        <f>$B$19</f>
        <v>0</v>
      </c>
    </row>
    <row r="67" spans="1:10" ht="24" customHeight="1" x14ac:dyDescent="0.15">
      <c r="A67" s="71" t="s">
        <v>265</v>
      </c>
      <c r="B67" s="60">
        <f>IF(かんたん入力!$C$68="いいえ",(B64+B65)*B66,0)</f>
        <v>0</v>
      </c>
    </row>
    <row r="68" spans="1:10" ht="24" customHeight="1" x14ac:dyDescent="0.15">
      <c r="A68" s="71" t="s">
        <v>266</v>
      </c>
      <c r="B68" s="60">
        <f>IFERROR(ROUNDDOWN(N(かんたん入力!$C$75)/365,0),0)</f>
        <v>0</v>
      </c>
    </row>
    <row r="69" spans="1:10" ht="24" customHeight="1" x14ac:dyDescent="0.15">
      <c r="A69" s="71" t="s">
        <v>267</v>
      </c>
      <c r="B69" s="60">
        <f>IF(かんたん入力!$C$68="いいえ",B68*B66,0)</f>
        <v>0</v>
      </c>
    </row>
    <row r="70" spans="1:10" ht="24" customHeight="1" x14ac:dyDescent="0.15">
      <c r="A70" s="72" t="s">
        <v>268</v>
      </c>
      <c r="B70" s="52">
        <f>IF(かんたん入力!$C$68="いいえ",B67,$F$15)</f>
        <v>0</v>
      </c>
    </row>
    <row r="72" spans="1:10" ht="17.25" x14ac:dyDescent="0.15">
      <c r="A72" s="46" t="s">
        <v>269</v>
      </c>
    </row>
    <row r="73" spans="1:10" ht="17.25" x14ac:dyDescent="0.15">
      <c r="A73" s="56" t="s">
        <v>270</v>
      </c>
      <c r="B73" s="68"/>
      <c r="C73" s="43" t="s">
        <v>271</v>
      </c>
    </row>
    <row r="74" spans="1:10" ht="17.25" x14ac:dyDescent="0.15">
      <c r="A74" s="56" t="s">
        <v>272</v>
      </c>
      <c r="B74" s="60" t="str">
        <f>IF(N(B73)=0,"",ROUNDDOWN(B73/234,0))</f>
        <v/>
      </c>
    </row>
    <row r="75" spans="1:10" ht="17.25" x14ac:dyDescent="0.15">
      <c r="A75" s="56" t="s">
        <v>273</v>
      </c>
      <c r="B75" s="60" t="str">
        <f>IF(B74="","",ROUNDDOWN(B74*19.5,0))</f>
        <v/>
      </c>
    </row>
  </sheetData>
  <sheetProtection sheet="1" formatCells="0" formatColumns="0" formatRows="0"/>
  <mergeCells count="4">
    <mergeCell ref="B63:D63"/>
    <mergeCell ref="B24:C24"/>
    <mergeCell ref="B27:F27"/>
    <mergeCell ref="C64:J65"/>
  </mergeCells>
  <phoneticPr fontId="51"/>
  <dataValidations count="7">
    <dataValidation type="list" allowBlank="1" showErrorMessage="1" errorTitle="入力エラー" error="一覧から選んでください。" sqref="B9:B14" xr:uid="{00000000-0002-0000-0300-000000000000}">
      <formula1>"○,×"</formula1>
    </dataValidation>
    <dataValidation type="decimal" allowBlank="1" showErrorMessage="1" errorTitle="数字を確かめてください" error="0.3範囲内の数字を入れてください。_x000a_「再試行」を押して入れ直せば大丈夫です。" sqref="D9:D14" xr:uid="{00000000-0002-0000-0300-000001000000}">
      <formula1>0</formula1>
      <formula2>0.3</formula2>
    </dataValidation>
    <dataValidation type="decimal" operator="greaterThan" allowBlank="1" showInputMessage="1" showErrorMessage="1" errorTitle="数字を入れてください" error="0より大きい数字を入れてください（例：21）。_x000a_「再試行」を押して入れ直せば大丈夫です。" promptTitle="ヒント" prompt="建退共の日数だけを変える時に入れます（0は不可）" sqref="B20" xr:uid="{00000000-0002-0000-0300-000002000000}">
      <formula1>0</formula1>
    </dataValidation>
    <dataValidation type="list" allowBlank="1" showErrorMessage="1" errorTitle="入力エラー" error="一覧から選んでください。" sqref="B24" xr:uid="{00000000-0002-0000-0300-000003000000}">
      <formula1>"①積み上げのみ,②経費率のみ,①＋②"</formula1>
    </dataValidation>
    <dataValidation type="decimal" allowBlank="1" showInputMessage="1" showErrorMessage="1" errorTitle="数字を確かめてください" error="0.2範囲内の数字を入れてください。_x000a_「再試行」を押して入れ直せば大丈夫です。" promptTitle="ヒント" prompt="安全衛生経費率（0～20%）。例：1%" sqref="B26" xr:uid="{00000000-0002-0000-0300-000004000000}">
      <formula1>0</formula1>
      <formula2>0.2</formula2>
    </dataValidation>
    <dataValidation type="list" allowBlank="1" showInputMessage="1" promptTitle="職人さんの種類" prompt="セルの右の ▼ をクリックして選んでください。_x000a_リストにない時は、そのまま文字で打ち込んでもOKです（例：大工）。" sqref="B32:B51" xr:uid="{00000000-0002-0000-0300-000005000000}">
      <formula1>かんたん職種</formula1>
    </dataValidation>
    <dataValidation type="decimal" operator="greaterThanOrEqual" allowBlank="1" showErrorMessage="1" errorTitle="入力エラー" error="0以上の数字を入れてください（文字・マイナスは不可）。" sqref="C32:C51 B73 B59 B56:B57 E32:F51" xr:uid="{00000000-0002-0000-0300-000006000000}">
      <formula1>0</formula1>
    </dataValidation>
  </dataValidations>
  <printOptions horizontalCentered="1"/>
  <pageMargins left="0.4" right="0.4" top="0.5" bottom="0.5" header="0.5" footer="0.5"/>
  <pageSetup paperSize="9" fitToHeight="0" orientation="landscape" blackAndWhite="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6A6A6"/>
    <pageSetUpPr fitToPage="1"/>
  </sheetPr>
  <dimension ref="A1:H76"/>
  <sheetViews>
    <sheetView zoomScale="85" zoomScaleNormal="85" workbookViewId="0">
      <pane ySplit="5" topLeftCell="A6" activePane="bottomLeft" state="frozen"/>
      <selection pane="bottomLeft" activeCell="C7" sqref="C7"/>
    </sheetView>
  </sheetViews>
  <sheetFormatPr defaultRowHeight="13.5" x14ac:dyDescent="0.15"/>
  <cols>
    <col min="1" max="1" width="6" customWidth="1"/>
    <col min="2" max="2" width="34" customWidth="1"/>
    <col min="3" max="4" width="14" customWidth="1"/>
    <col min="5" max="5" width="20" customWidth="1"/>
    <col min="6" max="6" width="62" customWidth="1"/>
    <col min="8" max="8" width="24" customWidth="1"/>
  </cols>
  <sheetData>
    <row r="1" spans="1:6" ht="26.1" customHeight="1" x14ac:dyDescent="0.5">
      <c r="A1" s="48" t="s">
        <v>274</v>
      </c>
    </row>
    <row r="2" spans="1:6" ht="17.25" x14ac:dyDescent="0.15">
      <c r="A2" s="49" t="s">
        <v>275</v>
      </c>
    </row>
    <row r="3" spans="1:6" ht="16.5" x14ac:dyDescent="0.35">
      <c r="A3" s="50" t="s">
        <v>203</v>
      </c>
    </row>
    <row r="4" spans="1:6" ht="17.25" x14ac:dyDescent="0.15">
      <c r="A4" s="46" t="s">
        <v>276</v>
      </c>
    </row>
    <row r="5" spans="1:6" ht="17.25" x14ac:dyDescent="0.15">
      <c r="A5" s="44" t="s">
        <v>277</v>
      </c>
      <c r="B5" s="44" t="s">
        <v>278</v>
      </c>
      <c r="C5" s="44" t="s">
        <v>279</v>
      </c>
      <c r="D5" s="44" t="s">
        <v>280</v>
      </c>
      <c r="E5" s="44" t="s">
        <v>281</v>
      </c>
      <c r="F5" s="44" t="s">
        <v>282</v>
      </c>
    </row>
    <row r="6" spans="1:6" ht="30" customHeight="1" x14ac:dyDescent="0.15">
      <c r="A6" s="41">
        <v>1</v>
      </c>
      <c r="B6" s="56" t="s">
        <v>283</v>
      </c>
      <c r="C6" s="59">
        <v>1.0500000000000001E-2</v>
      </c>
      <c r="D6" s="73">
        <v>1.6500000000000001E-2</v>
      </c>
      <c r="E6" s="56" t="s">
        <v>284</v>
      </c>
      <c r="F6" s="38" t="s">
        <v>285</v>
      </c>
    </row>
    <row r="7" spans="1:6" ht="30" customHeight="1" x14ac:dyDescent="0.15">
      <c r="A7" s="41">
        <v>2</v>
      </c>
      <c r="B7" s="56" t="s">
        <v>286</v>
      </c>
      <c r="C7" s="59">
        <v>4.8349999999999997E-2</v>
      </c>
      <c r="D7" s="73">
        <v>9.6699999999999994E-2</v>
      </c>
      <c r="E7" s="56" t="s">
        <v>287</v>
      </c>
      <c r="F7" s="38" t="s">
        <v>288</v>
      </c>
    </row>
    <row r="8" spans="1:6" ht="30" customHeight="1" x14ac:dyDescent="0.15">
      <c r="A8" s="41">
        <v>3</v>
      </c>
      <c r="B8" s="56" t="s">
        <v>289</v>
      </c>
      <c r="C8" s="59">
        <v>8.0999999999999996E-3</v>
      </c>
      <c r="D8" s="73">
        <v>1.6199999999999999E-2</v>
      </c>
      <c r="E8" s="56" t="s">
        <v>287</v>
      </c>
      <c r="F8" s="38" t="s">
        <v>290</v>
      </c>
    </row>
    <row r="9" spans="1:6" ht="30" customHeight="1" x14ac:dyDescent="0.15">
      <c r="A9" s="41">
        <v>4</v>
      </c>
      <c r="B9" s="56" t="s">
        <v>291</v>
      </c>
      <c r="C9" s="59">
        <v>9.1499999999999998E-2</v>
      </c>
      <c r="D9" s="73">
        <v>0.183</v>
      </c>
      <c r="E9" s="56" t="s">
        <v>292</v>
      </c>
      <c r="F9" s="38" t="s">
        <v>293</v>
      </c>
    </row>
    <row r="10" spans="1:6" ht="30" customHeight="1" x14ac:dyDescent="0.15">
      <c r="A10" s="41">
        <v>5</v>
      </c>
      <c r="B10" s="56" t="s">
        <v>294</v>
      </c>
      <c r="C10" s="59">
        <v>3.5999999999999999E-3</v>
      </c>
      <c r="D10" s="73">
        <v>3.5999999999999999E-3</v>
      </c>
      <c r="E10" s="56" t="s">
        <v>295</v>
      </c>
      <c r="F10" s="38" t="s">
        <v>296</v>
      </c>
    </row>
    <row r="11" spans="1:6" ht="30" customHeight="1" x14ac:dyDescent="0.15">
      <c r="A11" s="41">
        <v>6</v>
      </c>
      <c r="B11" s="56" t="s">
        <v>297</v>
      </c>
      <c r="C11" s="59">
        <v>1.15E-3</v>
      </c>
      <c r="D11" s="73">
        <v>2.3E-3</v>
      </c>
      <c r="E11" s="56" t="s">
        <v>298</v>
      </c>
      <c r="F11" s="38" t="s">
        <v>299</v>
      </c>
    </row>
    <row r="13" spans="1:6" ht="17.25" x14ac:dyDescent="0.15">
      <c r="A13" s="46" t="s">
        <v>300</v>
      </c>
    </row>
    <row r="14" spans="1:6" ht="17.25" x14ac:dyDescent="0.15">
      <c r="B14" s="56" t="s">
        <v>301</v>
      </c>
      <c r="C14" s="68">
        <v>320</v>
      </c>
      <c r="E14" s="56" t="s">
        <v>302</v>
      </c>
      <c r="F14" s="38" t="s">
        <v>303</v>
      </c>
    </row>
    <row r="15" spans="1:6" ht="17.25" x14ac:dyDescent="0.15">
      <c r="B15" s="56" t="s">
        <v>304</v>
      </c>
      <c r="C15" s="74">
        <v>0.1</v>
      </c>
      <c r="E15" s="56"/>
      <c r="F15" s="53" t="s">
        <v>305</v>
      </c>
    </row>
    <row r="16" spans="1:6" ht="31.5" x14ac:dyDescent="0.15">
      <c r="B16" s="56" t="s">
        <v>306</v>
      </c>
      <c r="C16" s="68">
        <v>17920</v>
      </c>
      <c r="E16" s="56" t="s">
        <v>307</v>
      </c>
      <c r="F16" s="38" t="s">
        <v>308</v>
      </c>
    </row>
    <row r="17" spans="1:8" ht="17.25" x14ac:dyDescent="0.15">
      <c r="A17" s="46" t="s">
        <v>309</v>
      </c>
    </row>
    <row r="18" spans="1:8" ht="17.25" x14ac:dyDescent="0.15">
      <c r="A18" s="44" t="s">
        <v>277</v>
      </c>
      <c r="B18" s="44" t="s">
        <v>310</v>
      </c>
      <c r="C18" s="44" t="s">
        <v>311</v>
      </c>
      <c r="D18" s="44"/>
      <c r="E18" s="44" t="s">
        <v>312</v>
      </c>
      <c r="F18" s="44" t="s">
        <v>313</v>
      </c>
      <c r="H18" s="44" t="s">
        <v>314</v>
      </c>
    </row>
    <row r="19" spans="1:8" ht="17.25" x14ac:dyDescent="0.15">
      <c r="A19" s="41">
        <v>1</v>
      </c>
      <c r="B19" s="56" t="s">
        <v>315</v>
      </c>
      <c r="C19" s="68">
        <v>30600</v>
      </c>
      <c r="E19" s="75" t="s">
        <v>316</v>
      </c>
      <c r="F19" s="56" t="s">
        <v>315</v>
      </c>
      <c r="H19" s="65" t="s">
        <v>315</v>
      </c>
    </row>
    <row r="20" spans="1:8" ht="17.25" x14ac:dyDescent="0.15">
      <c r="A20" s="41">
        <v>2</v>
      </c>
      <c r="B20" s="56" t="s">
        <v>317</v>
      </c>
      <c r="C20" s="68">
        <v>32900</v>
      </c>
      <c r="E20" s="75" t="s">
        <v>316</v>
      </c>
      <c r="F20" s="56" t="s">
        <v>318</v>
      </c>
      <c r="H20" s="65" t="s">
        <v>318</v>
      </c>
    </row>
    <row r="21" spans="1:8" ht="17.25" x14ac:dyDescent="0.15">
      <c r="A21" s="41">
        <v>3</v>
      </c>
      <c r="B21" s="56" t="s">
        <v>319</v>
      </c>
      <c r="C21" s="68">
        <v>33400</v>
      </c>
      <c r="E21" s="75" t="s">
        <v>316</v>
      </c>
      <c r="F21" s="56" t="s">
        <v>320</v>
      </c>
      <c r="H21" s="65" t="s">
        <v>320</v>
      </c>
    </row>
    <row r="22" spans="1:8" ht="17.25" x14ac:dyDescent="0.15">
      <c r="A22" s="41">
        <v>4</v>
      </c>
      <c r="B22" s="56" t="s">
        <v>321</v>
      </c>
      <c r="C22" s="68">
        <v>32800</v>
      </c>
      <c r="E22" s="75" t="s">
        <v>316</v>
      </c>
      <c r="F22" s="56" t="s">
        <v>321</v>
      </c>
      <c r="H22" s="65" t="s">
        <v>321</v>
      </c>
    </row>
    <row r="23" spans="1:8" ht="17.25" x14ac:dyDescent="0.15">
      <c r="A23" s="41">
        <v>5</v>
      </c>
      <c r="B23" s="56" t="s">
        <v>322</v>
      </c>
      <c r="C23" s="68">
        <v>34500</v>
      </c>
      <c r="E23" s="75" t="s">
        <v>316</v>
      </c>
      <c r="F23" s="56" t="s">
        <v>323</v>
      </c>
      <c r="H23" s="65" t="s">
        <v>323</v>
      </c>
    </row>
    <row r="24" spans="1:8" ht="17.25" x14ac:dyDescent="0.15">
      <c r="A24" s="41">
        <v>6</v>
      </c>
      <c r="B24" s="56" t="s">
        <v>324</v>
      </c>
      <c r="C24" s="68">
        <v>34800</v>
      </c>
      <c r="E24" s="75" t="s">
        <v>316</v>
      </c>
      <c r="F24" s="56" t="s">
        <v>325</v>
      </c>
      <c r="H24" s="65" t="s">
        <v>325</v>
      </c>
    </row>
    <row r="25" spans="1:8" ht="17.25" x14ac:dyDescent="0.15">
      <c r="A25" s="41">
        <v>7</v>
      </c>
      <c r="B25" s="56" t="s">
        <v>326</v>
      </c>
      <c r="C25" s="68">
        <v>35700</v>
      </c>
      <c r="E25" s="75" t="s">
        <v>316</v>
      </c>
      <c r="F25" s="56" t="s">
        <v>327</v>
      </c>
      <c r="H25" s="65" t="s">
        <v>327</v>
      </c>
    </row>
    <row r="26" spans="1:8" ht="17.25" x14ac:dyDescent="0.15">
      <c r="A26" s="41">
        <v>8</v>
      </c>
      <c r="B26" s="56" t="s">
        <v>328</v>
      </c>
      <c r="C26" s="68">
        <v>36900</v>
      </c>
      <c r="E26" s="75" t="s">
        <v>316</v>
      </c>
      <c r="F26" s="56" t="s">
        <v>329</v>
      </c>
      <c r="H26" s="65" t="s">
        <v>329</v>
      </c>
    </row>
    <row r="27" spans="1:8" ht="17.25" x14ac:dyDescent="0.15">
      <c r="A27" s="41">
        <v>9</v>
      </c>
      <c r="B27" s="56" t="s">
        <v>330</v>
      </c>
      <c r="C27" s="68">
        <v>27700</v>
      </c>
      <c r="E27" s="75" t="s">
        <v>316</v>
      </c>
      <c r="F27" s="56" t="s">
        <v>331</v>
      </c>
      <c r="H27" s="65" t="s">
        <v>331</v>
      </c>
    </row>
    <row r="28" spans="1:8" ht="17.25" x14ac:dyDescent="0.15">
      <c r="A28" s="41">
        <v>10</v>
      </c>
      <c r="B28" s="56" t="s">
        <v>332</v>
      </c>
      <c r="C28" s="68">
        <v>28600</v>
      </c>
      <c r="E28" s="75" t="s">
        <v>316</v>
      </c>
      <c r="F28" s="56" t="s">
        <v>333</v>
      </c>
      <c r="H28" s="65" t="s">
        <v>333</v>
      </c>
    </row>
    <row r="29" spans="1:8" ht="17.25" x14ac:dyDescent="0.15">
      <c r="A29" s="41">
        <v>11</v>
      </c>
      <c r="B29" s="56" t="s">
        <v>334</v>
      </c>
      <c r="C29" s="68">
        <v>33100</v>
      </c>
      <c r="E29" s="75" t="s">
        <v>316</v>
      </c>
      <c r="F29" s="56" t="s">
        <v>335</v>
      </c>
      <c r="H29" s="65" t="s">
        <v>335</v>
      </c>
    </row>
    <row r="30" spans="1:8" ht="17.25" x14ac:dyDescent="0.15">
      <c r="A30" s="41">
        <v>12</v>
      </c>
      <c r="B30" s="56" t="s">
        <v>336</v>
      </c>
      <c r="C30" s="68">
        <v>30200</v>
      </c>
      <c r="E30" s="75" t="s">
        <v>316</v>
      </c>
      <c r="F30" s="56" t="s">
        <v>337</v>
      </c>
      <c r="H30" s="65" t="s">
        <v>337</v>
      </c>
    </row>
    <row r="31" spans="1:8" ht="17.25" x14ac:dyDescent="0.15">
      <c r="A31" s="41">
        <v>13</v>
      </c>
      <c r="B31" s="56" t="s">
        <v>338</v>
      </c>
      <c r="C31" s="68">
        <v>28900</v>
      </c>
      <c r="E31" s="75" t="s">
        <v>316</v>
      </c>
      <c r="F31" s="56" t="s">
        <v>339</v>
      </c>
      <c r="H31" s="65" t="s">
        <v>339</v>
      </c>
    </row>
    <row r="32" spans="1:8" ht="17.25" x14ac:dyDescent="0.15">
      <c r="A32" s="41">
        <v>14</v>
      </c>
      <c r="B32" s="56" t="s">
        <v>340</v>
      </c>
      <c r="C32" s="68">
        <v>31200</v>
      </c>
      <c r="E32" s="75" t="s">
        <v>316</v>
      </c>
      <c r="F32" s="56" t="s">
        <v>341</v>
      </c>
      <c r="H32" s="65" t="s">
        <v>341</v>
      </c>
    </row>
    <row r="33" spans="1:8" ht="17.25" x14ac:dyDescent="0.15">
      <c r="A33" s="41">
        <v>15</v>
      </c>
      <c r="B33" s="56" t="s">
        <v>342</v>
      </c>
      <c r="C33" s="68">
        <v>32400</v>
      </c>
      <c r="E33" s="75" t="s">
        <v>316</v>
      </c>
      <c r="F33" s="56" t="s">
        <v>343</v>
      </c>
      <c r="H33" s="65" t="s">
        <v>343</v>
      </c>
    </row>
    <row r="34" spans="1:8" ht="17.25" x14ac:dyDescent="0.15">
      <c r="A34" s="41">
        <v>16</v>
      </c>
      <c r="B34" s="56" t="s">
        <v>344</v>
      </c>
      <c r="C34" s="68">
        <v>33200</v>
      </c>
      <c r="E34" s="75" t="s">
        <v>316</v>
      </c>
      <c r="F34" s="56" t="s">
        <v>345</v>
      </c>
      <c r="H34" s="65" t="s">
        <v>345</v>
      </c>
    </row>
    <row r="35" spans="1:8" ht="17.25" x14ac:dyDescent="0.15">
      <c r="A35" s="41">
        <v>17</v>
      </c>
      <c r="B35" s="56" t="s">
        <v>346</v>
      </c>
      <c r="C35" s="68">
        <v>32400</v>
      </c>
      <c r="E35" s="75" t="s">
        <v>316</v>
      </c>
      <c r="F35" s="56" t="s">
        <v>347</v>
      </c>
      <c r="H35" s="65" t="s">
        <v>347</v>
      </c>
    </row>
    <row r="36" spans="1:8" ht="17.25" x14ac:dyDescent="0.15">
      <c r="A36" s="41">
        <v>18</v>
      </c>
      <c r="B36" s="56" t="s">
        <v>348</v>
      </c>
      <c r="C36" s="68">
        <v>31200</v>
      </c>
      <c r="E36" s="75" t="s">
        <v>316</v>
      </c>
      <c r="F36" s="56" t="s">
        <v>349</v>
      </c>
      <c r="H36" s="65" t="s">
        <v>349</v>
      </c>
    </row>
    <row r="37" spans="1:8" ht="17.25" x14ac:dyDescent="0.15">
      <c r="A37" s="41">
        <v>19</v>
      </c>
      <c r="B37" s="56" t="s">
        <v>350</v>
      </c>
      <c r="C37" s="68">
        <v>25900</v>
      </c>
      <c r="E37" s="75" t="s">
        <v>316</v>
      </c>
      <c r="F37" s="56" t="s">
        <v>351</v>
      </c>
      <c r="H37" s="65" t="s">
        <v>351</v>
      </c>
    </row>
    <row r="38" spans="1:8" ht="17.25" x14ac:dyDescent="0.15">
      <c r="A38" s="41">
        <v>20</v>
      </c>
      <c r="B38" s="56" t="s">
        <v>352</v>
      </c>
      <c r="C38" s="68">
        <v>18000</v>
      </c>
      <c r="E38" s="75" t="s">
        <v>316</v>
      </c>
      <c r="F38" s="56" t="s">
        <v>352</v>
      </c>
      <c r="H38" s="65" t="s">
        <v>352</v>
      </c>
    </row>
    <row r="39" spans="1:8" ht="17.25" x14ac:dyDescent="0.15">
      <c r="A39" s="41">
        <v>21</v>
      </c>
      <c r="B39" s="56" t="s">
        <v>353</v>
      </c>
      <c r="C39" s="68">
        <v>28100</v>
      </c>
      <c r="E39" s="75" t="s">
        <v>316</v>
      </c>
      <c r="F39" s="56" t="s">
        <v>354</v>
      </c>
      <c r="H39" s="65" t="s">
        <v>355</v>
      </c>
    </row>
    <row r="40" spans="1:8" ht="17.25" x14ac:dyDescent="0.15">
      <c r="A40" s="41">
        <v>22</v>
      </c>
      <c r="B40" s="56" t="s">
        <v>356</v>
      </c>
      <c r="C40" s="68"/>
      <c r="E40" s="75" t="s">
        <v>357</v>
      </c>
      <c r="F40" s="56" t="s">
        <v>358</v>
      </c>
      <c r="H40" s="43" t="s">
        <v>359</v>
      </c>
    </row>
    <row r="41" spans="1:8" ht="17.25" x14ac:dyDescent="0.15">
      <c r="A41" s="41">
        <v>23</v>
      </c>
      <c r="B41" s="56" t="s">
        <v>360</v>
      </c>
      <c r="C41" s="68"/>
      <c r="E41" s="75" t="s">
        <v>357</v>
      </c>
      <c r="F41" s="56" t="s">
        <v>361</v>
      </c>
    </row>
    <row r="42" spans="1:8" ht="17.25" x14ac:dyDescent="0.15">
      <c r="A42" s="41">
        <v>24</v>
      </c>
      <c r="B42" s="56" t="s">
        <v>362</v>
      </c>
      <c r="C42" s="68">
        <v>29000</v>
      </c>
      <c r="E42" s="75" t="s">
        <v>316</v>
      </c>
      <c r="F42" s="56" t="s">
        <v>362</v>
      </c>
    </row>
    <row r="43" spans="1:8" ht="17.25" x14ac:dyDescent="0.15">
      <c r="A43" s="41">
        <v>25</v>
      </c>
      <c r="B43" s="56" t="s">
        <v>363</v>
      </c>
      <c r="C43" s="68">
        <v>35800</v>
      </c>
      <c r="E43" s="75" t="s">
        <v>316</v>
      </c>
      <c r="F43" s="56" t="s">
        <v>364</v>
      </c>
    </row>
    <row r="44" spans="1:8" ht="17.25" x14ac:dyDescent="0.15">
      <c r="A44" s="41">
        <v>26</v>
      </c>
      <c r="B44" s="56" t="s">
        <v>365</v>
      </c>
      <c r="C44" s="68">
        <v>29100</v>
      </c>
      <c r="E44" s="75" t="s">
        <v>316</v>
      </c>
      <c r="F44" s="56" t="s">
        <v>366</v>
      </c>
    </row>
    <row r="45" spans="1:8" ht="17.25" x14ac:dyDescent="0.15">
      <c r="A45" s="41">
        <v>27</v>
      </c>
      <c r="B45" s="56" t="s">
        <v>367</v>
      </c>
      <c r="C45" s="68">
        <v>32700</v>
      </c>
      <c r="E45" s="75" t="s">
        <v>316</v>
      </c>
      <c r="F45" s="56" t="s">
        <v>367</v>
      </c>
    </row>
    <row r="46" spans="1:8" ht="17.25" x14ac:dyDescent="0.15">
      <c r="A46" s="41">
        <v>28</v>
      </c>
      <c r="B46" s="56" t="s">
        <v>368</v>
      </c>
      <c r="C46" s="68">
        <v>26500</v>
      </c>
      <c r="E46" s="75" t="s">
        <v>316</v>
      </c>
      <c r="F46" s="56" t="s">
        <v>369</v>
      </c>
    </row>
    <row r="47" spans="1:8" ht="17.25" x14ac:dyDescent="0.15">
      <c r="A47" s="41">
        <v>29</v>
      </c>
      <c r="B47" s="56" t="s">
        <v>370</v>
      </c>
      <c r="C47" s="68">
        <v>19200</v>
      </c>
      <c r="E47" s="75" t="s">
        <v>316</v>
      </c>
      <c r="F47" s="56" t="s">
        <v>370</v>
      </c>
    </row>
    <row r="48" spans="1:8" ht="17.25" x14ac:dyDescent="0.15">
      <c r="A48" s="41">
        <v>30</v>
      </c>
      <c r="B48" s="56" t="s">
        <v>371</v>
      </c>
      <c r="C48" s="68">
        <v>18000</v>
      </c>
      <c r="E48" s="75" t="s">
        <v>316</v>
      </c>
      <c r="F48" s="56" t="s">
        <v>371</v>
      </c>
    </row>
    <row r="49" spans="1:6" ht="17.25" x14ac:dyDescent="0.15">
      <c r="A49" s="41">
        <v>31</v>
      </c>
      <c r="B49" s="56" t="s">
        <v>372</v>
      </c>
      <c r="C49" s="68">
        <v>31900</v>
      </c>
      <c r="E49" s="75" t="s">
        <v>316</v>
      </c>
      <c r="F49" s="56" t="s">
        <v>372</v>
      </c>
    </row>
    <row r="50" spans="1:6" ht="17.25" x14ac:dyDescent="0.15">
      <c r="A50" s="41">
        <v>32</v>
      </c>
      <c r="B50" s="56" t="s">
        <v>373</v>
      </c>
      <c r="C50" s="68">
        <v>31700</v>
      </c>
      <c r="E50" s="75" t="s">
        <v>316</v>
      </c>
      <c r="F50" s="56" t="s">
        <v>373</v>
      </c>
    </row>
    <row r="51" spans="1:6" ht="17.25" x14ac:dyDescent="0.15">
      <c r="A51" s="41">
        <v>33</v>
      </c>
      <c r="B51" s="56" t="s">
        <v>374</v>
      </c>
      <c r="C51" s="68">
        <v>27400</v>
      </c>
      <c r="E51" s="75" t="s">
        <v>316</v>
      </c>
      <c r="F51" s="56" t="s">
        <v>374</v>
      </c>
    </row>
    <row r="52" spans="1:6" ht="17.25" x14ac:dyDescent="0.15">
      <c r="A52" s="41">
        <v>34</v>
      </c>
      <c r="B52" s="56" t="s">
        <v>375</v>
      </c>
      <c r="C52" s="68">
        <v>37300</v>
      </c>
      <c r="E52" s="75" t="s">
        <v>316</v>
      </c>
      <c r="F52" s="56" t="s">
        <v>375</v>
      </c>
    </row>
    <row r="53" spans="1:6" ht="17.25" x14ac:dyDescent="0.15">
      <c r="A53" s="41">
        <v>35</v>
      </c>
      <c r="B53" s="56" t="s">
        <v>376</v>
      </c>
      <c r="C53" s="68">
        <v>44200</v>
      </c>
      <c r="E53" s="75" t="s">
        <v>316</v>
      </c>
      <c r="F53" s="56" t="s">
        <v>376</v>
      </c>
    </row>
    <row r="54" spans="1:6" ht="17.25" x14ac:dyDescent="0.15">
      <c r="A54" s="41">
        <v>36</v>
      </c>
      <c r="B54" s="56" t="s">
        <v>377</v>
      </c>
      <c r="C54" s="68">
        <v>41600</v>
      </c>
      <c r="E54" s="75" t="s">
        <v>316</v>
      </c>
      <c r="F54" s="56" t="s">
        <v>377</v>
      </c>
    </row>
    <row r="55" spans="1:6" ht="17.25" x14ac:dyDescent="0.15">
      <c r="A55" s="41">
        <v>37</v>
      </c>
      <c r="B55" s="56" t="s">
        <v>378</v>
      </c>
      <c r="C55" s="68">
        <v>39000</v>
      </c>
      <c r="E55" s="75" t="s">
        <v>316</v>
      </c>
      <c r="F55" s="56" t="s">
        <v>378</v>
      </c>
    </row>
    <row r="56" spans="1:6" ht="17.25" x14ac:dyDescent="0.15">
      <c r="A56" s="41">
        <v>38</v>
      </c>
      <c r="B56" s="56" t="s">
        <v>379</v>
      </c>
      <c r="C56" s="68">
        <v>32200</v>
      </c>
      <c r="E56" s="75" t="s">
        <v>316</v>
      </c>
      <c r="F56" s="56" t="s">
        <v>379</v>
      </c>
    </row>
    <row r="57" spans="1:6" ht="17.25" x14ac:dyDescent="0.15">
      <c r="A57" s="41">
        <v>39</v>
      </c>
      <c r="B57" s="56" t="s">
        <v>380</v>
      </c>
      <c r="C57" s="68">
        <v>43200</v>
      </c>
      <c r="E57" s="75" t="s">
        <v>316</v>
      </c>
      <c r="F57" s="56" t="s">
        <v>380</v>
      </c>
    </row>
    <row r="58" spans="1:6" ht="17.25" x14ac:dyDescent="0.15">
      <c r="A58" s="41">
        <v>40</v>
      </c>
      <c r="B58" s="56" t="s">
        <v>381</v>
      </c>
      <c r="C58" s="68">
        <v>37800</v>
      </c>
      <c r="E58" s="75" t="s">
        <v>316</v>
      </c>
      <c r="F58" s="56" t="s">
        <v>381</v>
      </c>
    </row>
    <row r="59" spans="1:6" ht="17.25" x14ac:dyDescent="0.15">
      <c r="A59" s="41">
        <v>41</v>
      </c>
      <c r="B59" s="56" t="s">
        <v>382</v>
      </c>
      <c r="C59" s="68">
        <v>36500</v>
      </c>
      <c r="E59" s="75" t="s">
        <v>316</v>
      </c>
      <c r="F59" s="56" t="s">
        <v>382</v>
      </c>
    </row>
    <row r="60" spans="1:6" ht="17.25" x14ac:dyDescent="0.15">
      <c r="A60" s="41">
        <v>42</v>
      </c>
      <c r="B60" s="56" t="s">
        <v>383</v>
      </c>
      <c r="C60" s="68">
        <v>41500</v>
      </c>
      <c r="E60" s="75" t="s">
        <v>316</v>
      </c>
      <c r="F60" s="56" t="s">
        <v>383</v>
      </c>
    </row>
    <row r="61" spans="1:6" ht="17.25" x14ac:dyDescent="0.15">
      <c r="A61" s="41">
        <v>43</v>
      </c>
      <c r="B61" s="56" t="s">
        <v>384</v>
      </c>
      <c r="C61" s="68">
        <v>32700</v>
      </c>
      <c r="E61" s="75" t="s">
        <v>316</v>
      </c>
      <c r="F61" s="56" t="s">
        <v>384</v>
      </c>
    </row>
    <row r="62" spans="1:6" ht="17.25" x14ac:dyDescent="0.15">
      <c r="A62" s="41">
        <v>44</v>
      </c>
      <c r="B62" s="56" t="s">
        <v>385</v>
      </c>
      <c r="C62" s="68">
        <v>39700</v>
      </c>
      <c r="E62" s="75" t="s">
        <v>316</v>
      </c>
      <c r="F62" s="56" t="s">
        <v>385</v>
      </c>
    </row>
    <row r="63" spans="1:6" ht="17.25" x14ac:dyDescent="0.15">
      <c r="A63" s="41">
        <v>45</v>
      </c>
      <c r="B63" s="56" t="s">
        <v>386</v>
      </c>
      <c r="C63" s="68">
        <v>32700</v>
      </c>
      <c r="E63" s="75" t="s">
        <v>316</v>
      </c>
      <c r="F63" s="56" t="s">
        <v>386</v>
      </c>
    </row>
    <row r="64" spans="1:6" ht="17.25" x14ac:dyDescent="0.15">
      <c r="A64" s="41">
        <v>46</v>
      </c>
      <c r="B64" s="56" t="s">
        <v>387</v>
      </c>
      <c r="C64" s="68">
        <v>51100</v>
      </c>
      <c r="E64" s="75" t="s">
        <v>316</v>
      </c>
      <c r="F64" s="56" t="s">
        <v>387</v>
      </c>
    </row>
    <row r="65" spans="1:6" ht="17.25" x14ac:dyDescent="0.15">
      <c r="A65" s="41">
        <v>47</v>
      </c>
      <c r="B65" s="56" t="s">
        <v>388</v>
      </c>
      <c r="C65" s="68">
        <v>38300</v>
      </c>
      <c r="E65" s="75" t="s">
        <v>316</v>
      </c>
      <c r="F65" s="56" t="s">
        <v>388</v>
      </c>
    </row>
    <row r="66" spans="1:6" ht="17.25" x14ac:dyDescent="0.15">
      <c r="A66" s="41">
        <v>48</v>
      </c>
      <c r="B66" s="56" t="s">
        <v>389</v>
      </c>
      <c r="C66" s="68">
        <v>36200</v>
      </c>
      <c r="E66" s="75" t="s">
        <v>316</v>
      </c>
      <c r="F66" s="56" t="s">
        <v>389</v>
      </c>
    </row>
    <row r="67" spans="1:6" ht="17.25" x14ac:dyDescent="0.15">
      <c r="A67" s="41">
        <v>49</v>
      </c>
      <c r="B67" s="56" t="s">
        <v>390</v>
      </c>
      <c r="C67" s="68">
        <v>32500</v>
      </c>
      <c r="E67" s="75" t="s">
        <v>316</v>
      </c>
      <c r="F67" s="56" t="s">
        <v>390</v>
      </c>
    </row>
    <row r="68" spans="1:6" ht="17.25" x14ac:dyDescent="0.15">
      <c r="A68" s="41">
        <v>50</v>
      </c>
      <c r="B68" s="56" t="s">
        <v>391</v>
      </c>
      <c r="C68" s="68">
        <v>60300</v>
      </c>
      <c r="E68" s="75" t="s">
        <v>316</v>
      </c>
      <c r="F68" s="56" t="s">
        <v>391</v>
      </c>
    </row>
    <row r="69" spans="1:6" ht="17.25" x14ac:dyDescent="0.15">
      <c r="A69" s="41">
        <v>51</v>
      </c>
      <c r="B69" s="65"/>
      <c r="C69" s="68"/>
      <c r="E69" s="53" t="s">
        <v>392</v>
      </c>
      <c r="F69" s="56" t="str">
        <f>IF(B69="","",B69)</f>
        <v/>
      </c>
    </row>
    <row r="70" spans="1:6" ht="17.25" x14ac:dyDescent="0.15">
      <c r="A70" s="41">
        <v>52</v>
      </c>
      <c r="B70" s="65"/>
      <c r="C70" s="68"/>
      <c r="E70" s="53" t="s">
        <v>392</v>
      </c>
      <c r="F70" s="56" t="str">
        <f>IF(B70="","",B70)</f>
        <v/>
      </c>
    </row>
    <row r="71" spans="1:6" ht="17.25" x14ac:dyDescent="0.15">
      <c r="A71" s="41">
        <v>53</v>
      </c>
      <c r="B71" s="65"/>
      <c r="C71" s="68"/>
      <c r="E71" s="53" t="s">
        <v>392</v>
      </c>
      <c r="F71" s="56" t="str">
        <f>IF(B71="","",B71)</f>
        <v/>
      </c>
    </row>
    <row r="72" spans="1:6" ht="17.25" x14ac:dyDescent="0.15">
      <c r="A72" s="41">
        <v>54</v>
      </c>
      <c r="B72" s="65"/>
      <c r="C72" s="68"/>
      <c r="E72" s="53" t="s">
        <v>392</v>
      </c>
      <c r="F72" s="56" t="str">
        <f>IF(B72="","",B72)</f>
        <v/>
      </c>
    </row>
    <row r="73" spans="1:6" ht="17.25" x14ac:dyDescent="0.15">
      <c r="A73" s="41">
        <v>55</v>
      </c>
      <c r="B73" s="65"/>
      <c r="C73" s="68"/>
      <c r="E73" s="53" t="s">
        <v>392</v>
      </c>
      <c r="F73" s="56" t="str">
        <f>IF(B73="","",B73)</f>
        <v/>
      </c>
    </row>
    <row r="75" spans="1:6" ht="16.5" x14ac:dyDescent="0.35">
      <c r="A75" s="76" t="s">
        <v>393</v>
      </c>
    </row>
    <row r="76" spans="1:6" ht="16.5" x14ac:dyDescent="0.35">
      <c r="A76" s="77" t="s">
        <v>394</v>
      </c>
    </row>
  </sheetData>
  <sheetProtection sheet="1" formatCells="0" formatColumns="0" formatRows="0"/>
  <phoneticPr fontId="51"/>
  <dataValidations count="3">
    <dataValidation type="decimal" allowBlank="1" showInputMessage="1" showErrorMessage="1" errorTitle="数字を確かめてください" error="0.3範囲内の数字を入れてください。_x000a_「再試行」を押して入れ直せば大丈夫です。" promptTitle="ヒント" prompt="率は0～30%の範囲で入れてください（例：1.05%）" sqref="C6:C11" xr:uid="{00000000-0002-0000-0400-000000000000}">
      <formula1>0</formula1>
      <formula2>0.3</formula2>
    </dataValidation>
    <dataValidation type="decimal" operator="greaterThanOrEqual" allowBlank="1" showErrorMessage="1" errorTitle="数字を入れてください" error="数字だけを入れてください（例：10）。_x000a_「再試行」を押して入れ直せば大丈夫です。" sqref="C14 C19:C73 C16" xr:uid="{00000000-0002-0000-0400-000001000000}">
      <formula1>0</formula1>
    </dataValidation>
    <dataValidation type="decimal" allowBlank="1" showErrorMessage="1" errorTitle="数字を確かめてください" error="0.3範囲内の数字を入れてください。_x000a_「再試行」を押して入れ直せば大丈夫です。" sqref="C15" xr:uid="{00000000-0002-0000-0400-000002000000}">
      <formula1>0</formula1>
      <formula2>0.3</formula2>
    </dataValidation>
  </dataValidations>
  <printOptions horizontalCentered="1"/>
  <pageMargins left="0.4" right="0.4" top="0.5" bottom="0.5" header="0.5" footer="0.5"/>
  <pageSetup paperSize="9" fitToHeight="0" orientation="portrait" blackAndWhite="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6A6A6"/>
    <pageSetUpPr fitToPage="1"/>
  </sheetPr>
  <dimension ref="A1:F64"/>
  <sheetViews>
    <sheetView workbookViewId="0"/>
  </sheetViews>
  <sheetFormatPr defaultRowHeight="13.5" x14ac:dyDescent="0.15"/>
  <cols>
    <col min="1" max="1" width="24" customWidth="1"/>
    <col min="2" max="2" width="40" customWidth="1"/>
    <col min="3" max="6" width="8" customWidth="1"/>
  </cols>
  <sheetData>
    <row r="1" spans="1:6" ht="26.1" customHeight="1" x14ac:dyDescent="0.5">
      <c r="A1" s="48" t="s">
        <v>395</v>
      </c>
    </row>
    <row r="2" spans="1:6" ht="17.25" x14ac:dyDescent="0.15">
      <c r="A2" s="49" t="s">
        <v>396</v>
      </c>
    </row>
    <row r="3" spans="1:6" ht="16.5" x14ac:dyDescent="0.35">
      <c r="A3" s="50" t="s">
        <v>203</v>
      </c>
    </row>
    <row r="5" spans="1:6" ht="17.25" x14ac:dyDescent="0.15">
      <c r="A5" s="51" t="s">
        <v>397</v>
      </c>
      <c r="B5" s="152" t="str">
        <f>IF(かんたん入力!$C$22="","",かんたん入力!$C$22)</f>
        <v/>
      </c>
      <c r="C5" s="153"/>
      <c r="D5" s="153"/>
      <c r="E5" s="153"/>
      <c r="F5" s="154"/>
    </row>
    <row r="6" spans="1:6" ht="15.75" x14ac:dyDescent="0.15">
      <c r="A6" s="135" t="s">
        <v>398</v>
      </c>
      <c r="B6" s="135" t="s">
        <v>399</v>
      </c>
      <c r="C6" s="160" t="s">
        <v>400</v>
      </c>
      <c r="D6" s="93"/>
      <c r="E6" s="160" t="s">
        <v>401</v>
      </c>
      <c r="F6" s="93"/>
    </row>
    <row r="7" spans="1:6" ht="15.75" x14ac:dyDescent="0.15">
      <c r="A7" s="93"/>
      <c r="B7" s="93"/>
      <c r="C7" s="78" t="s">
        <v>402</v>
      </c>
      <c r="D7" s="78" t="s">
        <v>403</v>
      </c>
      <c r="E7" s="78" t="s">
        <v>402</v>
      </c>
      <c r="F7" s="78" t="s">
        <v>403</v>
      </c>
    </row>
    <row r="8" spans="1:6" ht="17.100000000000001" customHeight="1" x14ac:dyDescent="0.15">
      <c r="A8" s="159" t="s">
        <v>404</v>
      </c>
      <c r="B8" s="53" t="s">
        <v>405</v>
      </c>
      <c r="C8" s="57"/>
      <c r="D8" s="57"/>
      <c r="E8" s="57"/>
      <c r="F8" s="57"/>
    </row>
    <row r="9" spans="1:6" ht="17.100000000000001" customHeight="1" x14ac:dyDescent="0.15">
      <c r="A9" s="93"/>
      <c r="B9" s="53" t="s">
        <v>406</v>
      </c>
      <c r="C9" s="57"/>
      <c r="D9" s="57"/>
      <c r="E9" s="57"/>
      <c r="F9" s="57"/>
    </row>
    <row r="10" spans="1:6" ht="17.100000000000001" customHeight="1" x14ac:dyDescent="0.15">
      <c r="A10" s="159" t="s">
        <v>407</v>
      </c>
      <c r="B10" s="53" t="s">
        <v>408</v>
      </c>
      <c r="C10" s="57"/>
      <c r="D10" s="57"/>
      <c r="E10" s="57"/>
      <c r="F10" s="57"/>
    </row>
    <row r="11" spans="1:6" ht="17.100000000000001" customHeight="1" x14ac:dyDescent="0.15">
      <c r="A11" s="93"/>
      <c r="B11" s="53" t="s">
        <v>409</v>
      </c>
      <c r="C11" s="57"/>
      <c r="D11" s="57"/>
      <c r="E11" s="57"/>
      <c r="F11" s="57"/>
    </row>
    <row r="12" spans="1:6" ht="17.100000000000001" customHeight="1" x14ac:dyDescent="0.15">
      <c r="A12" s="93"/>
      <c r="B12" s="53" t="s">
        <v>410</v>
      </c>
      <c r="C12" s="57"/>
      <c r="D12" s="57"/>
      <c r="E12" s="57"/>
      <c r="F12" s="57"/>
    </row>
    <row r="13" spans="1:6" ht="17.100000000000001" customHeight="1" x14ac:dyDescent="0.15">
      <c r="A13" s="93"/>
      <c r="B13" s="53" t="s">
        <v>411</v>
      </c>
      <c r="C13" s="57"/>
      <c r="D13" s="57"/>
      <c r="E13" s="57"/>
      <c r="F13" s="57"/>
    </row>
    <row r="14" spans="1:6" ht="17.100000000000001" customHeight="1" x14ac:dyDescent="0.15">
      <c r="A14" s="93"/>
      <c r="B14" s="53" t="s">
        <v>412</v>
      </c>
      <c r="C14" s="57"/>
      <c r="D14" s="57"/>
      <c r="E14" s="57"/>
      <c r="F14" s="57"/>
    </row>
    <row r="15" spans="1:6" ht="17.100000000000001" customHeight="1" x14ac:dyDescent="0.15">
      <c r="A15" s="93"/>
      <c r="B15" s="53" t="s">
        <v>413</v>
      </c>
      <c r="C15" s="57"/>
      <c r="D15" s="57"/>
      <c r="E15" s="57"/>
      <c r="F15" s="57"/>
    </row>
    <row r="16" spans="1:6" ht="17.100000000000001" customHeight="1" x14ac:dyDescent="0.15">
      <c r="A16" s="93"/>
      <c r="B16" s="53" t="s">
        <v>414</v>
      </c>
      <c r="C16" s="57"/>
      <c r="D16" s="57"/>
      <c r="E16" s="57"/>
      <c r="F16" s="57"/>
    </row>
    <row r="17" spans="1:6" ht="17.100000000000001" customHeight="1" x14ac:dyDescent="0.15">
      <c r="A17" s="93"/>
      <c r="B17" s="53" t="s">
        <v>415</v>
      </c>
      <c r="C17" s="57"/>
      <c r="D17" s="57"/>
      <c r="E17" s="57"/>
      <c r="F17" s="57"/>
    </row>
    <row r="18" spans="1:6" ht="17.100000000000001" customHeight="1" x14ac:dyDescent="0.15">
      <c r="A18" s="93"/>
      <c r="B18" s="53" t="s">
        <v>416</v>
      </c>
      <c r="C18" s="57"/>
      <c r="D18" s="57"/>
      <c r="E18" s="57"/>
      <c r="F18" s="57"/>
    </row>
    <row r="19" spans="1:6" ht="17.100000000000001" customHeight="1" x14ac:dyDescent="0.15">
      <c r="A19" s="93"/>
      <c r="B19" s="53" t="s">
        <v>417</v>
      </c>
      <c r="C19" s="57"/>
      <c r="D19" s="57"/>
      <c r="E19" s="57"/>
      <c r="F19" s="57"/>
    </row>
    <row r="20" spans="1:6" ht="17.100000000000001" customHeight="1" x14ac:dyDescent="0.15">
      <c r="A20" s="93"/>
      <c r="B20" s="53" t="s">
        <v>418</v>
      </c>
      <c r="C20" s="57"/>
      <c r="D20" s="57"/>
      <c r="E20" s="57"/>
      <c r="F20" s="57"/>
    </row>
    <row r="21" spans="1:6" ht="17.100000000000001" customHeight="1" x14ac:dyDescent="0.15">
      <c r="A21" s="93"/>
      <c r="B21" s="53" t="s">
        <v>419</v>
      </c>
      <c r="C21" s="57"/>
      <c r="D21" s="57"/>
      <c r="E21" s="57"/>
      <c r="F21" s="57"/>
    </row>
    <row r="22" spans="1:6" ht="17.100000000000001" customHeight="1" x14ac:dyDescent="0.15">
      <c r="A22" s="93"/>
      <c r="B22" s="53" t="s">
        <v>420</v>
      </c>
      <c r="C22" s="57"/>
      <c r="D22" s="57"/>
      <c r="E22" s="57"/>
      <c r="F22" s="57"/>
    </row>
    <row r="23" spans="1:6" ht="17.100000000000001" customHeight="1" x14ac:dyDescent="0.15">
      <c r="A23" s="93"/>
      <c r="B23" s="53" t="s">
        <v>421</v>
      </c>
      <c r="C23" s="57"/>
      <c r="D23" s="57"/>
      <c r="E23" s="57"/>
      <c r="F23" s="57"/>
    </row>
    <row r="24" spans="1:6" ht="17.100000000000001" customHeight="1" x14ac:dyDescent="0.15">
      <c r="A24" s="93"/>
      <c r="B24" s="53" t="s">
        <v>422</v>
      </c>
      <c r="C24" s="57"/>
      <c r="D24" s="57"/>
      <c r="E24" s="57"/>
      <c r="F24" s="57"/>
    </row>
    <row r="25" spans="1:6" ht="17.100000000000001" customHeight="1" x14ac:dyDescent="0.15">
      <c r="A25" s="93"/>
      <c r="B25" s="53" t="s">
        <v>423</v>
      </c>
      <c r="C25" s="57"/>
      <c r="D25" s="57"/>
      <c r="E25" s="57"/>
      <c r="F25" s="57"/>
    </row>
    <row r="26" spans="1:6" ht="17.100000000000001" customHeight="1" x14ac:dyDescent="0.15">
      <c r="A26" s="93"/>
      <c r="B26" s="53" t="s">
        <v>424</v>
      </c>
      <c r="C26" s="57"/>
      <c r="D26" s="57"/>
      <c r="E26" s="57"/>
      <c r="F26" s="57"/>
    </row>
    <row r="27" spans="1:6" ht="17.100000000000001" customHeight="1" x14ac:dyDescent="0.15">
      <c r="A27" s="159" t="s">
        <v>425</v>
      </c>
      <c r="B27" s="53" t="s">
        <v>426</v>
      </c>
      <c r="C27" s="57"/>
      <c r="D27" s="57"/>
      <c r="E27" s="57"/>
      <c r="F27" s="57"/>
    </row>
    <row r="28" spans="1:6" ht="17.100000000000001" customHeight="1" x14ac:dyDescent="0.15">
      <c r="A28" s="93"/>
      <c r="B28" s="53" t="s">
        <v>427</v>
      </c>
      <c r="C28" s="57"/>
      <c r="D28" s="57"/>
      <c r="E28" s="57"/>
      <c r="F28" s="57"/>
    </row>
    <row r="29" spans="1:6" ht="17.100000000000001" customHeight="1" x14ac:dyDescent="0.15">
      <c r="A29" s="93"/>
      <c r="B29" s="53" t="s">
        <v>428</v>
      </c>
      <c r="C29" s="57"/>
      <c r="D29" s="57"/>
      <c r="E29" s="57"/>
      <c r="F29" s="57"/>
    </row>
    <row r="30" spans="1:6" ht="17.100000000000001" customHeight="1" x14ac:dyDescent="0.15">
      <c r="A30" s="93"/>
      <c r="B30" s="53" t="s">
        <v>429</v>
      </c>
      <c r="C30" s="57"/>
      <c r="D30" s="57"/>
      <c r="E30" s="57"/>
      <c r="F30" s="57"/>
    </row>
    <row r="31" spans="1:6" ht="17.100000000000001" customHeight="1" x14ac:dyDescent="0.15">
      <c r="A31" s="93"/>
      <c r="B31" s="53" t="s">
        <v>430</v>
      </c>
      <c r="C31" s="57"/>
      <c r="D31" s="57"/>
      <c r="E31" s="57"/>
      <c r="F31" s="57"/>
    </row>
    <row r="32" spans="1:6" ht="17.100000000000001" customHeight="1" x14ac:dyDescent="0.15">
      <c r="A32" s="93"/>
      <c r="B32" s="53" t="s">
        <v>431</v>
      </c>
      <c r="C32" s="57"/>
      <c r="D32" s="57"/>
      <c r="E32" s="57"/>
      <c r="F32" s="57"/>
    </row>
    <row r="33" spans="1:6" ht="17.100000000000001" customHeight="1" x14ac:dyDescent="0.15">
      <c r="A33" s="93"/>
      <c r="B33" s="53" t="s">
        <v>432</v>
      </c>
      <c r="C33" s="57"/>
      <c r="D33" s="57"/>
      <c r="E33" s="57"/>
      <c r="F33" s="57"/>
    </row>
    <row r="34" spans="1:6" ht="17.100000000000001" customHeight="1" x14ac:dyDescent="0.15">
      <c r="A34" s="93"/>
      <c r="B34" s="53" t="s">
        <v>433</v>
      </c>
      <c r="C34" s="57"/>
      <c r="D34" s="57"/>
      <c r="E34" s="57"/>
      <c r="F34" s="57"/>
    </row>
    <row r="35" spans="1:6" ht="17.100000000000001" customHeight="1" x14ac:dyDescent="0.15">
      <c r="A35" s="93"/>
      <c r="B35" s="53" t="s">
        <v>434</v>
      </c>
      <c r="C35" s="57"/>
      <c r="D35" s="57"/>
      <c r="E35" s="57"/>
      <c r="F35" s="57"/>
    </row>
    <row r="36" spans="1:6" ht="17.100000000000001" customHeight="1" x14ac:dyDescent="0.15">
      <c r="A36" s="93"/>
      <c r="B36" s="53" t="s">
        <v>435</v>
      </c>
      <c r="C36" s="57"/>
      <c r="D36" s="57"/>
      <c r="E36" s="57"/>
      <c r="F36" s="57"/>
    </row>
    <row r="37" spans="1:6" ht="17.100000000000001" customHeight="1" x14ac:dyDescent="0.15">
      <c r="A37" s="93"/>
      <c r="B37" s="53" t="s">
        <v>436</v>
      </c>
      <c r="C37" s="57"/>
      <c r="D37" s="57"/>
      <c r="E37" s="57"/>
      <c r="F37" s="57"/>
    </row>
    <row r="38" spans="1:6" ht="17.100000000000001" customHeight="1" x14ac:dyDescent="0.15">
      <c r="A38" s="93"/>
      <c r="B38" s="53" t="s">
        <v>437</v>
      </c>
      <c r="C38" s="57"/>
      <c r="D38" s="57"/>
      <c r="E38" s="57"/>
      <c r="F38" s="57"/>
    </row>
    <row r="39" spans="1:6" ht="17.100000000000001" customHeight="1" x14ac:dyDescent="0.15">
      <c r="A39" s="159" t="s">
        <v>438</v>
      </c>
      <c r="B39" s="53" t="s">
        <v>439</v>
      </c>
      <c r="C39" s="57"/>
      <c r="D39" s="57"/>
      <c r="E39" s="57"/>
      <c r="F39" s="57"/>
    </row>
    <row r="40" spans="1:6" ht="17.100000000000001" customHeight="1" x14ac:dyDescent="0.15">
      <c r="A40" s="93"/>
      <c r="B40" s="53" t="s">
        <v>440</v>
      </c>
      <c r="C40" s="57"/>
      <c r="D40" s="57"/>
      <c r="E40" s="57"/>
      <c r="F40" s="57"/>
    </row>
    <row r="41" spans="1:6" ht="17.100000000000001" customHeight="1" x14ac:dyDescent="0.15">
      <c r="A41" s="93"/>
      <c r="B41" s="53" t="s">
        <v>441</v>
      </c>
      <c r="C41" s="57"/>
      <c r="D41" s="57"/>
      <c r="E41" s="57"/>
      <c r="F41" s="57"/>
    </row>
    <row r="42" spans="1:6" ht="17.100000000000001" customHeight="1" x14ac:dyDescent="0.15">
      <c r="A42" s="93"/>
      <c r="B42" s="53" t="s">
        <v>442</v>
      </c>
      <c r="C42" s="57"/>
      <c r="D42" s="57"/>
      <c r="E42" s="57"/>
      <c r="F42" s="57"/>
    </row>
    <row r="43" spans="1:6" ht="17.100000000000001" customHeight="1" x14ac:dyDescent="0.15">
      <c r="A43" s="159" t="s">
        <v>443</v>
      </c>
      <c r="B43" s="53" t="s">
        <v>444</v>
      </c>
      <c r="C43" s="57"/>
      <c r="D43" s="57"/>
      <c r="E43" s="57"/>
      <c r="F43" s="57"/>
    </row>
    <row r="44" spans="1:6" ht="17.100000000000001" customHeight="1" x14ac:dyDescent="0.15">
      <c r="A44" s="93"/>
      <c r="B44" s="53" t="s">
        <v>445</v>
      </c>
      <c r="C44" s="57"/>
      <c r="D44" s="57"/>
      <c r="E44" s="57"/>
      <c r="F44" s="57"/>
    </row>
    <row r="45" spans="1:6" ht="17.100000000000001" customHeight="1" x14ac:dyDescent="0.15">
      <c r="A45" s="93"/>
      <c r="B45" s="53" t="s">
        <v>446</v>
      </c>
      <c r="C45" s="57"/>
      <c r="D45" s="57"/>
      <c r="E45" s="57"/>
      <c r="F45" s="57"/>
    </row>
    <row r="46" spans="1:6" ht="17.100000000000001" customHeight="1" x14ac:dyDescent="0.15">
      <c r="A46" s="93"/>
      <c r="B46" s="53" t="s">
        <v>447</v>
      </c>
      <c r="C46" s="57"/>
      <c r="D46" s="57"/>
      <c r="E46" s="57"/>
      <c r="F46" s="57"/>
    </row>
    <row r="47" spans="1:6" ht="17.100000000000001" customHeight="1" x14ac:dyDescent="0.15">
      <c r="A47" s="93"/>
      <c r="B47" s="53" t="s">
        <v>448</v>
      </c>
      <c r="C47" s="57"/>
      <c r="D47" s="57"/>
      <c r="E47" s="57"/>
      <c r="F47" s="57"/>
    </row>
    <row r="48" spans="1:6" ht="17.100000000000001" customHeight="1" x14ac:dyDescent="0.15">
      <c r="A48" s="93"/>
      <c r="B48" s="53" t="s">
        <v>449</v>
      </c>
      <c r="C48" s="57"/>
      <c r="D48" s="57"/>
      <c r="E48" s="57"/>
      <c r="F48" s="57"/>
    </row>
    <row r="49" spans="1:6" ht="17.100000000000001" customHeight="1" x14ac:dyDescent="0.15">
      <c r="A49" s="93"/>
      <c r="B49" s="53" t="s">
        <v>450</v>
      </c>
      <c r="C49" s="57"/>
      <c r="D49" s="57"/>
      <c r="E49" s="57"/>
      <c r="F49" s="57"/>
    </row>
    <row r="50" spans="1:6" ht="17.100000000000001" customHeight="1" x14ac:dyDescent="0.15">
      <c r="A50" s="93"/>
      <c r="B50" s="53" t="s">
        <v>451</v>
      </c>
      <c r="C50" s="57"/>
      <c r="D50" s="57"/>
      <c r="E50" s="57"/>
      <c r="F50" s="57"/>
    </row>
    <row r="51" spans="1:6" ht="17.100000000000001" customHeight="1" x14ac:dyDescent="0.15">
      <c r="A51" s="93"/>
      <c r="B51" s="53" t="s">
        <v>452</v>
      </c>
      <c r="C51" s="57"/>
      <c r="D51" s="57"/>
      <c r="E51" s="57"/>
      <c r="F51" s="57"/>
    </row>
    <row r="52" spans="1:6" ht="17.100000000000001" customHeight="1" x14ac:dyDescent="0.15">
      <c r="A52" s="93"/>
      <c r="B52" s="53" t="s">
        <v>453</v>
      </c>
      <c r="C52" s="57"/>
      <c r="D52" s="57"/>
      <c r="E52" s="57"/>
      <c r="F52" s="57"/>
    </row>
    <row r="53" spans="1:6" ht="17.100000000000001" customHeight="1" x14ac:dyDescent="0.15">
      <c r="A53" s="93"/>
      <c r="B53" s="53" t="s">
        <v>454</v>
      </c>
      <c r="C53" s="57"/>
      <c r="D53" s="57"/>
      <c r="E53" s="57"/>
      <c r="F53" s="57"/>
    </row>
    <row r="54" spans="1:6" ht="17.100000000000001" customHeight="1" x14ac:dyDescent="0.15">
      <c r="A54" s="93"/>
      <c r="B54" s="53" t="s">
        <v>455</v>
      </c>
      <c r="C54" s="57"/>
      <c r="D54" s="57"/>
      <c r="E54" s="57"/>
      <c r="F54" s="57"/>
    </row>
    <row r="55" spans="1:6" ht="17.100000000000001" customHeight="1" x14ac:dyDescent="0.15">
      <c r="A55" s="93"/>
      <c r="B55" s="53" t="s">
        <v>456</v>
      </c>
      <c r="C55" s="57"/>
      <c r="D55" s="57"/>
      <c r="E55" s="57"/>
      <c r="F55" s="57"/>
    </row>
    <row r="56" spans="1:6" ht="17.100000000000001" customHeight="1" x14ac:dyDescent="0.15">
      <c r="A56" s="93"/>
      <c r="B56" s="53" t="s">
        <v>457</v>
      </c>
      <c r="C56" s="57"/>
      <c r="D56" s="57"/>
      <c r="E56" s="57"/>
      <c r="F56" s="57"/>
    </row>
    <row r="57" spans="1:6" ht="17.100000000000001" customHeight="1" x14ac:dyDescent="0.15">
      <c r="A57" s="159" t="s">
        <v>458</v>
      </c>
      <c r="B57" s="53" t="s">
        <v>459</v>
      </c>
      <c r="C57" s="57"/>
      <c r="D57" s="57"/>
      <c r="E57" s="57"/>
      <c r="F57" s="57"/>
    </row>
    <row r="58" spans="1:6" ht="17.100000000000001" customHeight="1" x14ac:dyDescent="0.15">
      <c r="A58" s="93"/>
      <c r="B58" s="53" t="s">
        <v>460</v>
      </c>
      <c r="C58" s="57"/>
      <c r="D58" s="57"/>
      <c r="E58" s="57"/>
      <c r="F58" s="57"/>
    </row>
    <row r="59" spans="1:6" ht="17.100000000000001" customHeight="1" x14ac:dyDescent="0.15">
      <c r="A59" s="93"/>
      <c r="B59" s="53" t="s">
        <v>461</v>
      </c>
      <c r="C59" s="57"/>
      <c r="D59" s="57"/>
      <c r="E59" s="57"/>
      <c r="F59" s="57"/>
    </row>
    <row r="60" spans="1:6" ht="17.100000000000001" customHeight="1" x14ac:dyDescent="0.15">
      <c r="A60" s="159" t="s">
        <v>462</v>
      </c>
      <c r="B60" s="65"/>
      <c r="C60" s="57"/>
      <c r="D60" s="57"/>
      <c r="E60" s="57"/>
      <c r="F60" s="57"/>
    </row>
    <row r="61" spans="1:6" ht="17.100000000000001" customHeight="1" x14ac:dyDescent="0.15">
      <c r="A61" s="93"/>
      <c r="B61" s="65"/>
      <c r="C61" s="57"/>
      <c r="D61" s="57"/>
      <c r="E61" s="57"/>
      <c r="F61" s="57"/>
    </row>
    <row r="62" spans="1:6" ht="17.100000000000001" customHeight="1" x14ac:dyDescent="0.15">
      <c r="A62" s="93"/>
      <c r="B62" s="65"/>
      <c r="C62" s="57"/>
      <c r="D62" s="57"/>
      <c r="E62" s="57"/>
      <c r="F62" s="57"/>
    </row>
    <row r="63" spans="1:6" ht="17.100000000000001" customHeight="1" x14ac:dyDescent="0.15">
      <c r="A63" s="93"/>
      <c r="B63" s="65"/>
      <c r="C63" s="57"/>
      <c r="D63" s="57"/>
      <c r="E63" s="57"/>
      <c r="F63" s="57"/>
    </row>
    <row r="64" spans="1:6" ht="17.100000000000001" customHeight="1" x14ac:dyDescent="0.15">
      <c r="A64" s="93"/>
      <c r="B64" s="65"/>
      <c r="C64" s="57"/>
      <c r="D64" s="57"/>
      <c r="E64" s="57"/>
      <c r="F64" s="57"/>
    </row>
  </sheetData>
  <sheetProtection sheet="1" formatCells="0" formatColumns="0" formatRows="0"/>
  <mergeCells count="12">
    <mergeCell ref="A57:A59"/>
    <mergeCell ref="B5:F5"/>
    <mergeCell ref="A39:A42"/>
    <mergeCell ref="A10:A26"/>
    <mergeCell ref="A60:A64"/>
    <mergeCell ref="A6:A7"/>
    <mergeCell ref="B6:B7"/>
    <mergeCell ref="A27:A38"/>
    <mergeCell ref="E6:F6"/>
    <mergeCell ref="C6:D6"/>
    <mergeCell ref="A8:A9"/>
    <mergeCell ref="A43:A56"/>
  </mergeCells>
  <phoneticPr fontId="51"/>
  <dataValidations count="1">
    <dataValidation type="list" allowBlank="1" showErrorMessage="1" errorTitle="入力エラー" error="一覧から選んでください。" sqref="C8:F64" xr:uid="{00000000-0002-0000-0500-000000000000}">
      <formula1>"○"</formula1>
    </dataValidation>
  </dataValidations>
  <printOptions horizontalCentered="1"/>
  <pageMargins left="0.4" right="0.4" top="0.5" bottom="0.5" header="0.5" footer="0.5"/>
  <pageSetup paperSize="9" fitToHeight="2" orientation="portrait" blackAndWhite="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AD47"/>
    <pageSetUpPr fitToPage="1"/>
  </sheetPr>
  <dimension ref="A1:C27"/>
  <sheetViews>
    <sheetView workbookViewId="0"/>
  </sheetViews>
  <sheetFormatPr defaultRowHeight="13.5" x14ac:dyDescent="0.15"/>
  <cols>
    <col min="1" max="1" width="30" customWidth="1"/>
    <col min="2" max="2" width="40" customWidth="1"/>
    <col min="3" max="3" width="70" customWidth="1"/>
  </cols>
  <sheetData>
    <row r="1" spans="1:3" ht="25.5" x14ac:dyDescent="0.5">
      <c r="A1" s="48" t="s">
        <v>463</v>
      </c>
    </row>
    <row r="2" spans="1:3" ht="17.25" x14ac:dyDescent="0.35">
      <c r="A2" s="79" t="s">
        <v>464</v>
      </c>
    </row>
    <row r="4" spans="1:3" ht="19.5" x14ac:dyDescent="0.15">
      <c r="A4" s="45" t="s">
        <v>465</v>
      </c>
      <c r="B4" s="45" t="s">
        <v>466</v>
      </c>
      <c r="C4" s="45" t="s">
        <v>467</v>
      </c>
    </row>
    <row r="5" spans="1:3" ht="39.950000000000003" customHeight="1" x14ac:dyDescent="0.15">
      <c r="A5" s="80" t="s">
        <v>190</v>
      </c>
      <c r="B5" s="31" t="s">
        <v>156</v>
      </c>
      <c r="C5" s="81" t="s">
        <v>468</v>
      </c>
    </row>
    <row r="6" spans="1:3" ht="39.950000000000003" customHeight="1" x14ac:dyDescent="0.15">
      <c r="A6" s="80" t="s">
        <v>469</v>
      </c>
      <c r="B6" s="31" t="s">
        <v>470</v>
      </c>
      <c r="C6" s="81" t="s">
        <v>471</v>
      </c>
    </row>
    <row r="7" spans="1:3" ht="39.950000000000003" customHeight="1" x14ac:dyDescent="0.15">
      <c r="A7" s="80" t="s">
        <v>472</v>
      </c>
      <c r="B7" s="31" t="s">
        <v>473</v>
      </c>
      <c r="C7" s="81" t="s">
        <v>474</v>
      </c>
    </row>
    <row r="8" spans="1:3" ht="39.950000000000003" customHeight="1" x14ac:dyDescent="0.15">
      <c r="A8" s="80" t="s">
        <v>475</v>
      </c>
      <c r="B8" s="31" t="s">
        <v>476</v>
      </c>
      <c r="C8" s="81" t="s">
        <v>477</v>
      </c>
    </row>
    <row r="9" spans="1:3" ht="39.950000000000003" customHeight="1" x14ac:dyDescent="0.15">
      <c r="A9" s="80" t="s">
        <v>478</v>
      </c>
      <c r="B9" s="31" t="s">
        <v>479</v>
      </c>
      <c r="C9" s="81" t="s">
        <v>480</v>
      </c>
    </row>
    <row r="10" spans="1:3" ht="39.950000000000003" customHeight="1" x14ac:dyDescent="0.15">
      <c r="A10" s="80" t="s">
        <v>481</v>
      </c>
      <c r="B10" s="31" t="s">
        <v>482</v>
      </c>
      <c r="C10" s="81" t="s">
        <v>483</v>
      </c>
    </row>
    <row r="11" spans="1:3" ht="39.950000000000003" customHeight="1" x14ac:dyDescent="0.15">
      <c r="A11" s="80" t="s">
        <v>192</v>
      </c>
      <c r="B11" s="31" t="s">
        <v>484</v>
      </c>
      <c r="C11" s="81" t="s">
        <v>485</v>
      </c>
    </row>
    <row r="12" spans="1:3" ht="39.950000000000003" customHeight="1" x14ac:dyDescent="0.15">
      <c r="A12" s="80" t="s">
        <v>486</v>
      </c>
      <c r="B12" s="31" t="s">
        <v>487</v>
      </c>
      <c r="C12" s="81" t="s">
        <v>488</v>
      </c>
    </row>
    <row r="13" spans="1:3" ht="39.950000000000003" customHeight="1" x14ac:dyDescent="0.15">
      <c r="A13" s="80" t="s">
        <v>194</v>
      </c>
      <c r="B13" s="31" t="s">
        <v>489</v>
      </c>
      <c r="C13" s="81" t="s">
        <v>490</v>
      </c>
    </row>
    <row r="14" spans="1:3" ht="39.950000000000003" customHeight="1" x14ac:dyDescent="0.15">
      <c r="A14" s="80" t="s">
        <v>491</v>
      </c>
      <c r="B14" s="31" t="s">
        <v>492</v>
      </c>
      <c r="C14" s="81" t="s">
        <v>493</v>
      </c>
    </row>
    <row r="15" spans="1:3" ht="39.950000000000003" customHeight="1" x14ac:dyDescent="0.15">
      <c r="A15" s="80" t="s">
        <v>494</v>
      </c>
      <c r="B15" s="31" t="s">
        <v>160</v>
      </c>
      <c r="C15" s="81" t="s">
        <v>495</v>
      </c>
    </row>
    <row r="16" spans="1:3" ht="39.950000000000003" customHeight="1" x14ac:dyDescent="0.15">
      <c r="A16" s="80" t="s">
        <v>175</v>
      </c>
      <c r="B16" s="31" t="s">
        <v>134</v>
      </c>
      <c r="C16" s="81" t="s">
        <v>496</v>
      </c>
    </row>
    <row r="17" spans="1:3" ht="39.950000000000003" customHeight="1" x14ac:dyDescent="0.15">
      <c r="A17" s="80" t="s">
        <v>497</v>
      </c>
      <c r="B17" s="31" t="s">
        <v>136</v>
      </c>
      <c r="C17" s="81" t="s">
        <v>498</v>
      </c>
    </row>
    <row r="18" spans="1:3" ht="39.950000000000003" customHeight="1" x14ac:dyDescent="0.15">
      <c r="A18" s="80" t="s">
        <v>499</v>
      </c>
      <c r="B18" s="31" t="s">
        <v>138</v>
      </c>
      <c r="C18" s="81" t="s">
        <v>500</v>
      </c>
    </row>
    <row r="19" spans="1:3" ht="39.950000000000003" customHeight="1" x14ac:dyDescent="0.15">
      <c r="A19" s="80" t="s">
        <v>402</v>
      </c>
      <c r="B19" s="31" t="s">
        <v>501</v>
      </c>
      <c r="C19" s="81" t="s">
        <v>502</v>
      </c>
    </row>
    <row r="20" spans="1:3" ht="39.950000000000003" customHeight="1" x14ac:dyDescent="0.15">
      <c r="A20" s="80" t="s">
        <v>503</v>
      </c>
      <c r="B20" s="31" t="s">
        <v>504</v>
      </c>
      <c r="C20" s="81" t="s">
        <v>505</v>
      </c>
    </row>
    <row r="21" spans="1:3" ht="39.950000000000003" customHeight="1" x14ac:dyDescent="0.15">
      <c r="A21" s="80" t="s">
        <v>506</v>
      </c>
      <c r="B21" s="31" t="s">
        <v>507</v>
      </c>
      <c r="C21" s="81" t="s">
        <v>508</v>
      </c>
    </row>
    <row r="22" spans="1:3" ht="39.950000000000003" customHeight="1" x14ac:dyDescent="0.15">
      <c r="A22" s="80" t="s">
        <v>509</v>
      </c>
      <c r="B22" s="31" t="s">
        <v>510</v>
      </c>
      <c r="C22" s="81" t="s">
        <v>511</v>
      </c>
    </row>
    <row r="23" spans="1:3" ht="39.950000000000003" customHeight="1" x14ac:dyDescent="0.15">
      <c r="A23" s="80" t="s">
        <v>512</v>
      </c>
      <c r="B23" s="31" t="s">
        <v>513</v>
      </c>
      <c r="C23" s="81" t="s">
        <v>514</v>
      </c>
    </row>
    <row r="24" spans="1:3" ht="39.950000000000003" customHeight="1" x14ac:dyDescent="0.15">
      <c r="A24" s="80" t="s">
        <v>515</v>
      </c>
      <c r="B24" s="31" t="s">
        <v>516</v>
      </c>
      <c r="C24" s="81" t="s">
        <v>517</v>
      </c>
    </row>
    <row r="25" spans="1:3" ht="39.950000000000003" customHeight="1" x14ac:dyDescent="0.15">
      <c r="A25" s="80" t="s">
        <v>518</v>
      </c>
      <c r="B25" s="31" t="s">
        <v>119</v>
      </c>
      <c r="C25" s="81" t="s">
        <v>519</v>
      </c>
    </row>
    <row r="26" spans="1:3" ht="39.950000000000003" customHeight="1" x14ac:dyDescent="0.15">
      <c r="A26" s="80" t="s">
        <v>199</v>
      </c>
      <c r="B26" s="31" t="s">
        <v>520</v>
      </c>
      <c r="C26" s="81" t="s">
        <v>521</v>
      </c>
    </row>
    <row r="27" spans="1:3" ht="39.950000000000003" customHeight="1" x14ac:dyDescent="0.15">
      <c r="A27" s="80" t="s">
        <v>522</v>
      </c>
      <c r="B27" s="31" t="s">
        <v>523</v>
      </c>
      <c r="C27" s="81" t="s">
        <v>524</v>
      </c>
    </row>
  </sheetData>
  <sheetProtection sheet="1" formatCells="0" formatColumns="0" formatRows="0"/>
  <phoneticPr fontId="51"/>
  <printOptions horizontalCentered="1"/>
  <pageMargins left="0.4" right="0.4" top="0.5" bottom="0.5" header="0.5" footer="0.5"/>
  <pageSetup paperSize="9" fitToHeight="0" orientation="portrait" blackAndWhite="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9D9D9"/>
    <pageSetUpPr fitToPage="1"/>
  </sheetPr>
  <dimension ref="A1:D36"/>
  <sheetViews>
    <sheetView workbookViewId="0"/>
  </sheetViews>
  <sheetFormatPr defaultRowHeight="13.5" x14ac:dyDescent="0.15"/>
  <cols>
    <col min="1" max="1" width="5" customWidth="1"/>
    <col min="2" max="2" width="24" customWidth="1"/>
    <col min="3" max="3" width="44" customWidth="1"/>
    <col min="4" max="4" width="50" customWidth="1"/>
  </cols>
  <sheetData>
    <row r="1" spans="1:4" ht="24" x14ac:dyDescent="0.5">
      <c r="A1" s="82" t="s">
        <v>525</v>
      </c>
    </row>
    <row r="3" spans="1:4" ht="17.25" x14ac:dyDescent="0.15">
      <c r="A3" s="44" t="s">
        <v>277</v>
      </c>
      <c r="B3" s="44" t="s">
        <v>278</v>
      </c>
      <c r="C3" s="44" t="s">
        <v>526</v>
      </c>
      <c r="D3" s="44" t="s">
        <v>527</v>
      </c>
    </row>
    <row r="4" spans="1:4" ht="36" customHeight="1" x14ac:dyDescent="0.15">
      <c r="A4" s="41">
        <v>1</v>
      </c>
      <c r="B4" s="37" t="s">
        <v>528</v>
      </c>
      <c r="C4" s="37" t="s">
        <v>529</v>
      </c>
      <c r="D4" s="37" t="s">
        <v>530</v>
      </c>
    </row>
    <row r="5" spans="1:4" ht="36" customHeight="1" x14ac:dyDescent="0.15">
      <c r="A5" s="41">
        <v>2</v>
      </c>
      <c r="B5" s="37" t="s">
        <v>531</v>
      </c>
      <c r="C5" s="37" t="s">
        <v>532</v>
      </c>
      <c r="D5" s="37" t="s">
        <v>533</v>
      </c>
    </row>
    <row r="6" spans="1:4" ht="36" customHeight="1" x14ac:dyDescent="0.15">
      <c r="A6" s="41">
        <v>3</v>
      </c>
      <c r="B6" s="37" t="s">
        <v>534</v>
      </c>
      <c r="C6" s="37" t="s">
        <v>535</v>
      </c>
      <c r="D6" s="37" t="s">
        <v>536</v>
      </c>
    </row>
    <row r="7" spans="1:4" ht="36" customHeight="1" x14ac:dyDescent="0.15">
      <c r="A7" s="41">
        <v>4</v>
      </c>
      <c r="B7" s="37" t="s">
        <v>537</v>
      </c>
      <c r="C7" s="37" t="s">
        <v>538</v>
      </c>
      <c r="D7" s="37" t="s">
        <v>539</v>
      </c>
    </row>
    <row r="8" spans="1:4" ht="36" customHeight="1" x14ac:dyDescent="0.15">
      <c r="A8" s="41">
        <v>5</v>
      </c>
      <c r="B8" s="37" t="s">
        <v>540</v>
      </c>
      <c r="C8" s="37" t="s">
        <v>541</v>
      </c>
      <c r="D8" s="37" t="s">
        <v>542</v>
      </c>
    </row>
    <row r="9" spans="1:4" ht="36" customHeight="1" x14ac:dyDescent="0.15">
      <c r="A9" s="41">
        <v>6</v>
      </c>
      <c r="B9" s="37" t="s">
        <v>543</v>
      </c>
      <c r="C9" s="37" t="s">
        <v>544</v>
      </c>
      <c r="D9" s="37" t="s">
        <v>545</v>
      </c>
    </row>
    <row r="10" spans="1:4" ht="36" customHeight="1" x14ac:dyDescent="0.15">
      <c r="A10" s="41">
        <v>7</v>
      </c>
      <c r="B10" s="37" t="s">
        <v>546</v>
      </c>
      <c r="C10" s="37" t="s">
        <v>547</v>
      </c>
      <c r="D10" s="37" t="s">
        <v>548</v>
      </c>
    </row>
    <row r="11" spans="1:4" ht="36" customHeight="1" x14ac:dyDescent="0.15">
      <c r="A11" s="41">
        <v>8</v>
      </c>
      <c r="B11" s="37" t="s">
        <v>194</v>
      </c>
      <c r="C11" s="37" t="s">
        <v>549</v>
      </c>
      <c r="D11" s="37" t="s">
        <v>550</v>
      </c>
    </row>
    <row r="12" spans="1:4" ht="36" customHeight="1" x14ac:dyDescent="0.15">
      <c r="A12" s="41">
        <v>9</v>
      </c>
      <c r="B12" s="37" t="s">
        <v>551</v>
      </c>
      <c r="C12" s="37" t="s">
        <v>552</v>
      </c>
      <c r="D12" s="37" t="s">
        <v>553</v>
      </c>
    </row>
    <row r="13" spans="1:4" ht="36" customHeight="1" x14ac:dyDescent="0.15">
      <c r="A13" s="41">
        <v>10</v>
      </c>
      <c r="B13" s="37" t="s">
        <v>554</v>
      </c>
      <c r="C13" s="37" t="s">
        <v>555</v>
      </c>
      <c r="D13" s="37" t="s">
        <v>556</v>
      </c>
    </row>
    <row r="14" spans="1:4" ht="36" customHeight="1" x14ac:dyDescent="0.15">
      <c r="A14" s="41">
        <v>11</v>
      </c>
      <c r="B14" s="37" t="s">
        <v>557</v>
      </c>
      <c r="C14" s="37" t="s">
        <v>558</v>
      </c>
      <c r="D14" s="37" t="s">
        <v>559</v>
      </c>
    </row>
    <row r="15" spans="1:4" ht="36" customHeight="1" x14ac:dyDescent="0.15">
      <c r="A15" s="41">
        <v>12</v>
      </c>
      <c r="B15" s="37" t="s">
        <v>560</v>
      </c>
      <c r="C15" s="37" t="s">
        <v>561</v>
      </c>
      <c r="D15" s="37" t="s">
        <v>562</v>
      </c>
    </row>
    <row r="16" spans="1:4" ht="36" customHeight="1" x14ac:dyDescent="0.15">
      <c r="A16" s="41">
        <v>13</v>
      </c>
      <c r="B16" s="37" t="s">
        <v>563</v>
      </c>
      <c r="C16" s="37" t="s">
        <v>552</v>
      </c>
      <c r="D16" s="37" t="s">
        <v>564</v>
      </c>
    </row>
    <row r="17" spans="1:4" ht="36" customHeight="1" x14ac:dyDescent="0.15">
      <c r="A17" s="41">
        <v>14</v>
      </c>
      <c r="B17" s="37" t="s">
        <v>565</v>
      </c>
      <c r="C17" s="37" t="s">
        <v>566</v>
      </c>
      <c r="D17" s="37" t="s">
        <v>567</v>
      </c>
    </row>
    <row r="18" spans="1:4" ht="36" customHeight="1" x14ac:dyDescent="0.15">
      <c r="A18" s="41">
        <v>15</v>
      </c>
      <c r="B18" s="37" t="s">
        <v>568</v>
      </c>
      <c r="C18" s="37" t="s">
        <v>569</v>
      </c>
      <c r="D18" s="37" t="s">
        <v>570</v>
      </c>
    </row>
    <row r="19" spans="1:4" ht="36" customHeight="1" x14ac:dyDescent="0.15">
      <c r="A19" s="41">
        <v>16</v>
      </c>
      <c r="B19" s="37" t="s">
        <v>571</v>
      </c>
      <c r="C19" s="37" t="s">
        <v>572</v>
      </c>
      <c r="D19" s="37" t="s">
        <v>573</v>
      </c>
    </row>
    <row r="20" spans="1:4" ht="36" customHeight="1" x14ac:dyDescent="0.15">
      <c r="A20" s="41">
        <v>17</v>
      </c>
      <c r="B20" s="37" t="s">
        <v>574</v>
      </c>
      <c r="C20" s="37" t="s">
        <v>575</v>
      </c>
      <c r="D20" s="37" t="s">
        <v>576</v>
      </c>
    </row>
    <row r="21" spans="1:4" ht="36" customHeight="1" x14ac:dyDescent="0.15">
      <c r="A21" s="41">
        <v>18</v>
      </c>
      <c r="B21" s="37" t="s">
        <v>577</v>
      </c>
      <c r="C21" s="37" t="s">
        <v>572</v>
      </c>
      <c r="D21" s="37" t="s">
        <v>578</v>
      </c>
    </row>
    <row r="22" spans="1:4" ht="36" customHeight="1" x14ac:dyDescent="0.15">
      <c r="A22" s="41">
        <v>19</v>
      </c>
      <c r="B22" s="37" t="s">
        <v>579</v>
      </c>
      <c r="C22" s="37" t="s">
        <v>566</v>
      </c>
      <c r="D22" s="37" t="s">
        <v>580</v>
      </c>
    </row>
    <row r="23" spans="1:4" ht="36" customHeight="1" x14ac:dyDescent="0.15">
      <c r="A23" s="41">
        <v>20</v>
      </c>
      <c r="B23" s="37" t="s">
        <v>581</v>
      </c>
      <c r="C23" s="37" t="s">
        <v>566</v>
      </c>
      <c r="D23" s="37" t="s">
        <v>582</v>
      </c>
    </row>
    <row r="24" spans="1:4" ht="36" customHeight="1" x14ac:dyDescent="0.15">
      <c r="A24" s="41">
        <v>21</v>
      </c>
      <c r="B24" s="37" t="s">
        <v>583</v>
      </c>
      <c r="C24" s="37" t="s">
        <v>566</v>
      </c>
      <c r="D24" s="37" t="s">
        <v>584</v>
      </c>
    </row>
    <row r="25" spans="1:4" ht="36" customHeight="1" x14ac:dyDescent="0.15">
      <c r="A25" s="41">
        <v>22</v>
      </c>
      <c r="B25" s="37" t="s">
        <v>585</v>
      </c>
      <c r="C25" s="37" t="s">
        <v>586</v>
      </c>
      <c r="D25" s="37" t="s">
        <v>587</v>
      </c>
    </row>
    <row r="26" spans="1:4" ht="36" customHeight="1" x14ac:dyDescent="0.15">
      <c r="A26" s="41">
        <v>23</v>
      </c>
      <c r="B26" s="37" t="s">
        <v>588</v>
      </c>
      <c r="C26" s="37" t="s">
        <v>589</v>
      </c>
      <c r="D26" s="37" t="s">
        <v>590</v>
      </c>
    </row>
    <row r="27" spans="1:4" ht="36" customHeight="1" x14ac:dyDescent="0.15">
      <c r="A27" s="41">
        <v>24</v>
      </c>
      <c r="B27" s="37" t="s">
        <v>591</v>
      </c>
      <c r="C27" s="37" t="s">
        <v>592</v>
      </c>
      <c r="D27" s="37" t="s">
        <v>593</v>
      </c>
    </row>
    <row r="28" spans="1:4" ht="36" customHeight="1" x14ac:dyDescent="0.15">
      <c r="A28" s="41">
        <v>25</v>
      </c>
      <c r="B28" s="37" t="s">
        <v>594</v>
      </c>
      <c r="C28" s="37" t="s">
        <v>595</v>
      </c>
      <c r="D28" s="37" t="s">
        <v>596</v>
      </c>
    </row>
    <row r="29" spans="1:4" ht="36" customHeight="1" x14ac:dyDescent="0.15">
      <c r="A29" s="41">
        <v>26</v>
      </c>
      <c r="B29" s="37" t="s">
        <v>597</v>
      </c>
      <c r="C29" s="37" t="s">
        <v>598</v>
      </c>
      <c r="D29" s="37" t="s">
        <v>599</v>
      </c>
    </row>
    <row r="30" spans="1:4" ht="36" customHeight="1" x14ac:dyDescent="0.15">
      <c r="A30" s="41">
        <v>27</v>
      </c>
      <c r="B30" s="37" t="s">
        <v>600</v>
      </c>
      <c r="C30" s="37" t="s">
        <v>601</v>
      </c>
      <c r="D30" s="37" t="s">
        <v>602</v>
      </c>
    </row>
    <row r="31" spans="1:4" ht="36" customHeight="1" x14ac:dyDescent="0.15">
      <c r="A31" s="41">
        <v>28</v>
      </c>
      <c r="B31" s="37" t="s">
        <v>603</v>
      </c>
      <c r="C31" s="37" t="s">
        <v>604</v>
      </c>
      <c r="D31" s="37" t="s">
        <v>605</v>
      </c>
    </row>
    <row r="32" spans="1:4" ht="36" customHeight="1" x14ac:dyDescent="0.15">
      <c r="A32" s="41">
        <v>29</v>
      </c>
      <c r="B32" s="37" t="s">
        <v>606</v>
      </c>
      <c r="C32" s="37" t="s">
        <v>607</v>
      </c>
      <c r="D32" s="37" t="s">
        <v>608</v>
      </c>
    </row>
    <row r="33" spans="1:4" ht="36" customHeight="1" x14ac:dyDescent="0.15">
      <c r="A33" s="41">
        <v>30</v>
      </c>
      <c r="B33" s="37" t="s">
        <v>609</v>
      </c>
      <c r="C33" s="37" t="s">
        <v>610</v>
      </c>
      <c r="D33" s="37" t="s">
        <v>611</v>
      </c>
    </row>
    <row r="34" spans="1:4" ht="36" customHeight="1" x14ac:dyDescent="0.15">
      <c r="A34" s="41">
        <v>31</v>
      </c>
      <c r="B34" s="37" t="s">
        <v>612</v>
      </c>
      <c r="C34" s="37" t="s">
        <v>613</v>
      </c>
      <c r="D34" s="37" t="s">
        <v>614</v>
      </c>
    </row>
    <row r="35" spans="1:4" ht="36" customHeight="1" x14ac:dyDescent="0.15">
      <c r="A35" s="41">
        <v>32</v>
      </c>
      <c r="B35" s="37" t="s">
        <v>615</v>
      </c>
      <c r="C35" s="37" t="s">
        <v>616</v>
      </c>
      <c r="D35" s="37" t="s">
        <v>617</v>
      </c>
    </row>
    <row r="36" spans="1:4" ht="36" customHeight="1" x14ac:dyDescent="0.15">
      <c r="A36" s="41">
        <v>33</v>
      </c>
      <c r="B36" s="37" t="s">
        <v>618</v>
      </c>
      <c r="C36" s="37" t="s">
        <v>619</v>
      </c>
      <c r="D36" s="37" t="s">
        <v>620</v>
      </c>
    </row>
  </sheetData>
  <phoneticPr fontId="51"/>
  <printOptions horizontalCentered="1"/>
  <pageMargins left="0.4" right="0.4" top="0.5" bottom="0.5" header="0.5" footer="0.5"/>
  <pageSetup paperSize="9" fitToHeight="0" orientation="landscape" blackAndWhite="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vt:i4>
      </vt:variant>
    </vt:vector>
  </HeadingPairs>
  <TitlesOfParts>
    <vt:vector size="20" baseType="lpstr">
      <vt:lpstr>はじめにお読みください</vt:lpstr>
      <vt:lpstr>かんたん入力</vt:lpstr>
      <vt:lpstr>見積書（印刷用）</vt:lpstr>
      <vt:lpstr>事務所用①くわしい設定</vt:lpstr>
      <vt:lpstr>事務所用②料率と日当</vt:lpstr>
      <vt:lpstr>事務所用③安全衛生 確認表</vt:lpstr>
      <vt:lpstr>用語の言い換え一覧</vt:lpstr>
      <vt:lpstr>変更点一覧</vt:lpstr>
      <vt:lpstr>かんたん入力!Print_Area</vt:lpstr>
      <vt:lpstr>はじめにお読みください!Print_Area</vt:lpstr>
      <vt:lpstr>'見積書（印刷用）'!Print_Area</vt:lpstr>
      <vt:lpstr>事務所用①くわしい設定!Print_Area</vt:lpstr>
      <vt:lpstr>事務所用②料率と日当!Print_Area</vt:lpstr>
      <vt:lpstr>'事務所用③安全衛生 確認表'!Print_Area</vt:lpstr>
      <vt:lpstr>変更点一覧!Print_Area</vt:lpstr>
      <vt:lpstr>用語の言い換え一覧!Print_Area</vt:lpstr>
      <vt:lpstr>かんたん職種</vt:lpstr>
      <vt:lpstr>正式職種</vt:lpstr>
      <vt:lpstr>日当表C</vt:lpstr>
      <vt:lpstr>日当表F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亮 武部</cp:lastModifiedBy>
  <dcterms:created xsi:type="dcterms:W3CDTF">2026-10-14T02:18:31Z</dcterms:created>
  <dcterms:modified xsi:type="dcterms:W3CDTF">2026-10-16T01:24:43Z</dcterms:modified>
</cp:coreProperties>
</file>